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atthew.santos\Downloads\"/>
    </mc:Choice>
  </mc:AlternateContent>
  <xr:revisionPtr revIDLastSave="0" documentId="13_ncr:1_{2850BDDE-D8AD-4672-9301-353672EB09CF}" xr6:coauthVersionLast="47" xr6:coauthVersionMax="47" xr10:uidLastSave="{00000000-0000-0000-0000-000000000000}"/>
  <bookViews>
    <workbookView xWindow="-28920" yWindow="-120" windowWidth="29040" windowHeight="15720" activeTab="5" xr2:uid="{00000000-000D-0000-FFFF-FFFF00000000}"/>
  </bookViews>
  <sheets>
    <sheet name="By Type" sheetId="4" r:id="rId1"/>
    <sheet name="By Origin" sheetId="5" r:id="rId2"/>
    <sheet name="Sheet3" sheetId="6" state="hidden" r:id="rId3"/>
    <sheet name="Sheet4" sheetId="7" state="hidden" r:id="rId4"/>
    <sheet name="Intl Vs Dom" sheetId="8" r:id="rId5"/>
    <sheet name="Nov 2024 Data" sheetId="1" r:id="rId6"/>
    <sheet name="For Matt" sheetId="2" state="hidden" r:id="rId7"/>
    <sheet name="Dec 2024" sheetId="3" state="hidden" r:id="rId8"/>
  </sheets>
  <definedNames>
    <definedName name="_xlnm._FilterDatabase" localSheetId="6" hidden="1">'For Matt'!$A$6:$H$99</definedName>
    <definedName name="_xlnm._FilterDatabase" localSheetId="5" hidden="1">'Nov 2024 Data'!$A$8:$K$1704</definedName>
  </definedNames>
  <calcPr calcId="191029"/>
  <pivotCaches>
    <pivotCache cacheId="7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Td6c83ms6kdsan4RPrfIq8VYMffXMZ1s5GMch25mdCw=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D9" i="1"/>
  <c r="K7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I12" i="1"/>
  <c r="I13" i="1"/>
  <c r="I14" i="1"/>
  <c r="I15" i="1"/>
  <c r="I16" i="1"/>
  <c r="I17" i="1"/>
  <c r="I18" i="1"/>
  <c r="I19" i="1"/>
  <c r="I22" i="1"/>
  <c r="I23" i="1"/>
  <c r="I24" i="1"/>
  <c r="I25" i="1"/>
  <c r="I26" i="1"/>
  <c r="I27" i="1"/>
  <c r="I29" i="1"/>
  <c r="I30" i="1"/>
  <c r="I31" i="1"/>
  <c r="I33" i="1"/>
  <c r="I34" i="1"/>
  <c r="I36" i="1"/>
  <c r="I37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9" i="1"/>
  <c r="I673" i="1"/>
  <c r="I674" i="1"/>
  <c r="I675" i="1"/>
  <c r="I676" i="1"/>
  <c r="I681" i="1"/>
  <c r="I682" i="1"/>
  <c r="I683" i="1"/>
  <c r="I686" i="1"/>
  <c r="I689" i="1"/>
  <c r="I690" i="1"/>
  <c r="I691" i="1"/>
  <c r="I692" i="1"/>
  <c r="I693" i="1"/>
  <c r="I694" i="1"/>
  <c r="I695" i="1"/>
  <c r="I696" i="1"/>
  <c r="I697" i="1"/>
  <c r="I698" i="1"/>
  <c r="I699" i="1"/>
  <c r="I701" i="1"/>
  <c r="I702" i="1"/>
  <c r="I703" i="1"/>
  <c r="I704" i="1"/>
  <c r="I705" i="1"/>
  <c r="I706" i="1"/>
  <c r="I707" i="1"/>
  <c r="I708" i="1"/>
  <c r="I709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6" i="1"/>
  <c r="I827" i="1"/>
  <c r="I828" i="1"/>
  <c r="I829" i="1"/>
  <c r="I830" i="1"/>
  <c r="I833" i="1"/>
  <c r="I834" i="1"/>
  <c r="I835" i="1"/>
  <c r="I836" i="1"/>
  <c r="I843" i="1"/>
  <c r="I844" i="1"/>
  <c r="I846" i="1"/>
  <c r="I848" i="1"/>
  <c r="I849" i="1"/>
  <c r="I851" i="1"/>
  <c r="I852" i="1"/>
  <c r="I854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5" i="1"/>
  <c r="I876" i="1"/>
  <c r="I878" i="1"/>
  <c r="I880" i="1"/>
  <c r="I882" i="1"/>
  <c r="I883" i="1"/>
  <c r="I884" i="1"/>
  <c r="I888" i="1"/>
  <c r="I889" i="1"/>
  <c r="I890" i="1"/>
  <c r="I891" i="1"/>
  <c r="I892" i="1"/>
  <c r="I895" i="1"/>
  <c r="I896" i="1"/>
  <c r="I898" i="1"/>
  <c r="I899" i="1"/>
  <c r="I900" i="1"/>
  <c r="I911" i="1"/>
  <c r="I917" i="1"/>
  <c r="I930" i="1"/>
  <c r="I931" i="1"/>
  <c r="I940" i="1"/>
  <c r="I943" i="1"/>
  <c r="I944" i="1"/>
  <c r="I945" i="1"/>
  <c r="I946" i="1"/>
  <c r="I950" i="1"/>
  <c r="I951" i="1"/>
  <c r="I952" i="1"/>
  <c r="I953" i="1"/>
  <c r="I954" i="1"/>
  <c r="I961" i="1"/>
  <c r="I962" i="1"/>
  <c r="I964" i="1"/>
  <c r="I965" i="1"/>
  <c r="I966" i="1"/>
  <c r="I967" i="1"/>
  <c r="I968" i="1"/>
  <c r="I969" i="1"/>
  <c r="I972" i="1"/>
  <c r="I973" i="1"/>
  <c r="I974" i="1"/>
  <c r="I976" i="1"/>
  <c r="I977" i="1"/>
  <c r="I980" i="1"/>
  <c r="I981" i="1"/>
  <c r="I983" i="1"/>
  <c r="I986" i="1"/>
  <c r="I989" i="1"/>
  <c r="I990" i="1"/>
  <c r="I991" i="1"/>
  <c r="I992" i="1"/>
  <c r="I1010" i="1"/>
  <c r="I1011" i="1"/>
  <c r="I1025" i="1"/>
  <c r="I1026" i="1"/>
  <c r="I1028" i="1"/>
  <c r="I1029" i="1"/>
  <c r="I1031" i="1"/>
  <c r="I1033" i="1"/>
  <c r="I1034" i="1"/>
  <c r="I1035" i="1"/>
  <c r="I1036" i="1"/>
  <c r="I1038" i="1"/>
  <c r="I1039" i="1"/>
  <c r="I1040" i="1"/>
  <c r="I1042" i="1"/>
  <c r="I1043" i="1"/>
  <c r="I1044" i="1"/>
  <c r="I1045" i="1"/>
  <c r="I1046" i="1"/>
  <c r="I1047" i="1"/>
  <c r="I1048" i="1"/>
  <c r="I1050" i="1"/>
  <c r="I1051" i="1"/>
  <c r="I1052" i="1"/>
  <c r="I1053" i="1"/>
  <c r="I1055" i="1"/>
  <c r="I1064" i="1"/>
  <c r="I1112" i="1"/>
  <c r="I1126" i="1"/>
  <c r="I1139" i="1"/>
  <c r="I1147" i="1"/>
  <c r="I1161" i="1"/>
  <c r="I1179" i="1"/>
  <c r="I1317" i="1"/>
  <c r="I1318" i="1"/>
  <c r="I1329" i="1"/>
  <c r="I1366" i="1"/>
  <c r="I1378" i="1"/>
  <c r="I1432" i="1"/>
  <c r="I1456" i="1"/>
  <c r="I1468" i="1"/>
  <c r="I1475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6" i="1"/>
  <c r="I1606" i="1"/>
  <c r="I1617" i="1"/>
  <c r="I1630" i="1"/>
  <c r="I1636" i="1"/>
  <c r="I1648" i="1"/>
  <c r="I1678" i="1"/>
  <c r="I1684" i="1"/>
  <c r="I1691" i="1"/>
  <c r="J1692" i="1"/>
  <c r="H1692" i="1"/>
  <c r="I1692" i="1" s="1"/>
  <c r="J1691" i="1"/>
  <c r="H1691" i="1"/>
  <c r="J1690" i="1"/>
  <c r="H1690" i="1"/>
  <c r="I1690" i="1" s="1"/>
  <c r="J1689" i="1"/>
  <c r="H1689" i="1"/>
  <c r="I1689" i="1" s="1"/>
  <c r="J1688" i="1"/>
  <c r="H1688" i="1"/>
  <c r="I1688" i="1" s="1"/>
  <c r="J1687" i="1"/>
  <c r="H1687" i="1"/>
  <c r="I1687" i="1" s="1"/>
  <c r="J1686" i="1"/>
  <c r="H1686" i="1"/>
  <c r="I1686" i="1" s="1"/>
  <c r="J1685" i="1"/>
  <c r="H1685" i="1"/>
  <c r="I1685" i="1" s="1"/>
  <c r="J1684" i="1"/>
  <c r="H1684" i="1"/>
  <c r="J1683" i="1"/>
  <c r="H1683" i="1"/>
  <c r="I1683" i="1" s="1"/>
  <c r="J1682" i="1"/>
  <c r="H1682" i="1"/>
  <c r="I1682" i="1" s="1"/>
  <c r="J1681" i="1"/>
  <c r="H1681" i="1"/>
  <c r="I1681" i="1" s="1"/>
  <c r="J1680" i="1"/>
  <c r="H1680" i="1"/>
  <c r="I1680" i="1" s="1"/>
  <c r="J1679" i="1"/>
  <c r="H1679" i="1"/>
  <c r="I1679" i="1" s="1"/>
  <c r="J1678" i="1"/>
  <c r="H1678" i="1"/>
  <c r="J1677" i="1"/>
  <c r="H1677" i="1"/>
  <c r="I1677" i="1" s="1"/>
  <c r="J1676" i="1"/>
  <c r="H1676" i="1"/>
  <c r="I1676" i="1" s="1"/>
  <c r="J1675" i="1"/>
  <c r="H1675" i="1"/>
  <c r="I1675" i="1" s="1"/>
  <c r="J1674" i="1"/>
  <c r="H1674" i="1"/>
  <c r="I1674" i="1" s="1"/>
  <c r="J1673" i="1"/>
  <c r="H1673" i="1"/>
  <c r="I1673" i="1" s="1"/>
  <c r="J1672" i="1"/>
  <c r="H1672" i="1"/>
  <c r="I1672" i="1" s="1"/>
  <c r="J1671" i="1"/>
  <c r="H1671" i="1"/>
  <c r="I1671" i="1" s="1"/>
  <c r="J1670" i="1"/>
  <c r="H1670" i="1"/>
  <c r="I1670" i="1" s="1"/>
  <c r="J1669" i="1"/>
  <c r="H1669" i="1"/>
  <c r="I1669" i="1" s="1"/>
  <c r="J1668" i="1"/>
  <c r="H1668" i="1"/>
  <c r="I1668" i="1" s="1"/>
  <c r="J1667" i="1"/>
  <c r="H1667" i="1"/>
  <c r="I1667" i="1" s="1"/>
  <c r="J1666" i="1"/>
  <c r="H1666" i="1"/>
  <c r="I1666" i="1" s="1"/>
  <c r="J1665" i="1"/>
  <c r="H1665" i="1"/>
  <c r="I1665" i="1" s="1"/>
  <c r="J1664" i="1"/>
  <c r="H1664" i="1"/>
  <c r="I1664" i="1" s="1"/>
  <c r="J1663" i="1"/>
  <c r="H1663" i="1"/>
  <c r="I1663" i="1" s="1"/>
  <c r="J1662" i="1"/>
  <c r="H1662" i="1"/>
  <c r="I1662" i="1" s="1"/>
  <c r="J1661" i="1"/>
  <c r="H1661" i="1"/>
  <c r="I1661" i="1" s="1"/>
  <c r="J1660" i="1"/>
  <c r="H1660" i="1"/>
  <c r="I1660" i="1" s="1"/>
  <c r="J1659" i="1"/>
  <c r="H1659" i="1"/>
  <c r="I1659" i="1" s="1"/>
  <c r="J1658" i="1"/>
  <c r="H1658" i="1"/>
  <c r="I1658" i="1" s="1"/>
  <c r="J1657" i="1"/>
  <c r="H1657" i="1"/>
  <c r="I1657" i="1" s="1"/>
  <c r="J1656" i="1"/>
  <c r="H1656" i="1"/>
  <c r="I1656" i="1" s="1"/>
  <c r="J1655" i="1"/>
  <c r="H1655" i="1"/>
  <c r="I1655" i="1" s="1"/>
  <c r="J1654" i="1"/>
  <c r="H1654" i="1"/>
  <c r="I1654" i="1" s="1"/>
  <c r="J1653" i="1"/>
  <c r="H1653" i="1"/>
  <c r="I1653" i="1" s="1"/>
  <c r="J1652" i="1"/>
  <c r="H1652" i="1"/>
  <c r="I1652" i="1" s="1"/>
  <c r="J1651" i="1"/>
  <c r="H1651" i="1"/>
  <c r="I1651" i="1" s="1"/>
  <c r="J1650" i="1"/>
  <c r="H1650" i="1"/>
  <c r="I1650" i="1" s="1"/>
  <c r="J1649" i="1"/>
  <c r="H1649" i="1"/>
  <c r="I1649" i="1" s="1"/>
  <c r="J1648" i="1"/>
  <c r="H1648" i="1"/>
  <c r="J1647" i="1"/>
  <c r="H1647" i="1"/>
  <c r="I1647" i="1" s="1"/>
  <c r="J1646" i="1"/>
  <c r="H1646" i="1"/>
  <c r="I1646" i="1" s="1"/>
  <c r="J1645" i="1"/>
  <c r="H1645" i="1"/>
  <c r="I1645" i="1" s="1"/>
  <c r="J1644" i="1"/>
  <c r="H1644" i="1"/>
  <c r="I1644" i="1" s="1"/>
  <c r="J1643" i="1"/>
  <c r="H1643" i="1"/>
  <c r="I1643" i="1" s="1"/>
  <c r="J1642" i="1"/>
  <c r="H1642" i="1"/>
  <c r="I1642" i="1" s="1"/>
  <c r="J1641" i="1"/>
  <c r="H1641" i="1"/>
  <c r="I1641" i="1" s="1"/>
  <c r="J1640" i="1"/>
  <c r="H1640" i="1"/>
  <c r="I1640" i="1" s="1"/>
  <c r="J1639" i="1"/>
  <c r="H1639" i="1"/>
  <c r="I1639" i="1" s="1"/>
  <c r="J1638" i="1"/>
  <c r="H1638" i="1"/>
  <c r="I1638" i="1" s="1"/>
  <c r="J1637" i="1"/>
  <c r="H1637" i="1"/>
  <c r="I1637" i="1" s="1"/>
  <c r="J1636" i="1"/>
  <c r="H1636" i="1"/>
  <c r="J1635" i="1"/>
  <c r="H1635" i="1"/>
  <c r="I1635" i="1" s="1"/>
  <c r="J1634" i="1"/>
  <c r="H1634" i="1"/>
  <c r="I1634" i="1" s="1"/>
  <c r="J1633" i="1"/>
  <c r="H1633" i="1"/>
  <c r="I1633" i="1" s="1"/>
  <c r="J1632" i="1"/>
  <c r="H1632" i="1"/>
  <c r="I1632" i="1" s="1"/>
  <c r="J1631" i="1"/>
  <c r="H1631" i="1"/>
  <c r="I1631" i="1" s="1"/>
  <c r="J1630" i="1"/>
  <c r="H1630" i="1"/>
  <c r="J1629" i="1"/>
  <c r="H1629" i="1"/>
  <c r="I1629" i="1" s="1"/>
  <c r="J1628" i="1"/>
  <c r="H1628" i="1"/>
  <c r="I1628" i="1" s="1"/>
  <c r="J1627" i="1"/>
  <c r="H1627" i="1"/>
  <c r="I1627" i="1" s="1"/>
  <c r="J1626" i="1"/>
  <c r="H1626" i="1"/>
  <c r="I1626" i="1" s="1"/>
  <c r="J1625" i="1"/>
  <c r="H1625" i="1"/>
  <c r="I1625" i="1" s="1"/>
  <c r="J1624" i="1"/>
  <c r="H1624" i="1"/>
  <c r="I1624" i="1" s="1"/>
  <c r="J1623" i="1"/>
  <c r="H1623" i="1"/>
  <c r="I1623" i="1" s="1"/>
  <c r="J1622" i="1"/>
  <c r="H1622" i="1"/>
  <c r="I1622" i="1" s="1"/>
  <c r="J1621" i="1"/>
  <c r="H1621" i="1"/>
  <c r="I1621" i="1" s="1"/>
  <c r="J1620" i="1"/>
  <c r="H1620" i="1"/>
  <c r="I1620" i="1" s="1"/>
  <c r="J1619" i="1"/>
  <c r="H1619" i="1"/>
  <c r="I1619" i="1" s="1"/>
  <c r="J1618" i="1"/>
  <c r="H1618" i="1"/>
  <c r="I1618" i="1" s="1"/>
  <c r="J1617" i="1"/>
  <c r="H1617" i="1"/>
  <c r="J1616" i="1"/>
  <c r="H1616" i="1"/>
  <c r="I1616" i="1" s="1"/>
  <c r="J1615" i="1"/>
  <c r="H1615" i="1"/>
  <c r="I1615" i="1" s="1"/>
  <c r="J1614" i="1"/>
  <c r="H1614" i="1"/>
  <c r="I1614" i="1" s="1"/>
  <c r="J1613" i="1"/>
  <c r="H1613" i="1"/>
  <c r="I1613" i="1" s="1"/>
  <c r="J1612" i="1"/>
  <c r="H1612" i="1"/>
  <c r="I1612" i="1" s="1"/>
  <c r="J1611" i="1"/>
  <c r="H1611" i="1"/>
  <c r="I1611" i="1" s="1"/>
  <c r="J1610" i="1"/>
  <c r="H1610" i="1"/>
  <c r="I1610" i="1" s="1"/>
  <c r="J1609" i="1"/>
  <c r="H1609" i="1"/>
  <c r="I1609" i="1" s="1"/>
  <c r="J1608" i="1"/>
  <c r="H1608" i="1"/>
  <c r="I1608" i="1" s="1"/>
  <c r="J1607" i="1"/>
  <c r="H1607" i="1"/>
  <c r="I1607" i="1" s="1"/>
  <c r="J1606" i="1"/>
  <c r="H1606" i="1"/>
  <c r="J1605" i="1"/>
  <c r="H1605" i="1"/>
  <c r="I1605" i="1" s="1"/>
  <c r="J1604" i="1"/>
  <c r="H1604" i="1"/>
  <c r="I1604" i="1" s="1"/>
  <c r="J1603" i="1"/>
  <c r="H1603" i="1"/>
  <c r="I1603" i="1" s="1"/>
  <c r="J1602" i="1"/>
  <c r="H1602" i="1"/>
  <c r="I1602" i="1" s="1"/>
  <c r="J1601" i="1"/>
  <c r="H1601" i="1"/>
  <c r="I1601" i="1" s="1"/>
  <c r="J1600" i="1"/>
  <c r="H1600" i="1"/>
  <c r="I1600" i="1" s="1"/>
  <c r="J1599" i="1"/>
  <c r="H1599" i="1"/>
  <c r="I1599" i="1" s="1"/>
  <c r="J1598" i="1"/>
  <c r="H1598" i="1"/>
  <c r="I1598" i="1" s="1"/>
  <c r="J1597" i="1"/>
  <c r="H1597" i="1"/>
  <c r="I1597" i="1" s="1"/>
  <c r="J1596" i="1"/>
  <c r="H1596" i="1"/>
  <c r="J1595" i="1"/>
  <c r="H1595" i="1"/>
  <c r="I1595" i="1" s="1"/>
  <c r="J1594" i="1"/>
  <c r="H1594" i="1"/>
  <c r="I1594" i="1" s="1"/>
  <c r="J1593" i="1"/>
  <c r="H1593" i="1"/>
  <c r="I1593" i="1" s="1"/>
  <c r="J1592" i="1"/>
  <c r="H1592" i="1"/>
  <c r="I1592" i="1" s="1"/>
  <c r="J1591" i="1"/>
  <c r="H1591" i="1"/>
  <c r="I1591" i="1" s="1"/>
  <c r="J1477" i="1"/>
  <c r="H1477" i="1"/>
  <c r="I1477" i="1" s="1"/>
  <c r="J1476" i="1"/>
  <c r="H1476" i="1"/>
  <c r="I1476" i="1" s="1"/>
  <c r="J1475" i="1"/>
  <c r="H1475" i="1"/>
  <c r="J1474" i="1"/>
  <c r="H1474" i="1"/>
  <c r="I1474" i="1" s="1"/>
  <c r="J1473" i="1"/>
  <c r="H1473" i="1"/>
  <c r="I1473" i="1" s="1"/>
  <c r="J1472" i="1"/>
  <c r="H1472" i="1"/>
  <c r="I1472" i="1" s="1"/>
  <c r="J1471" i="1"/>
  <c r="H1471" i="1"/>
  <c r="I1471" i="1" s="1"/>
  <c r="J1470" i="1"/>
  <c r="H1470" i="1"/>
  <c r="I1470" i="1" s="1"/>
  <c r="J1469" i="1"/>
  <c r="H1469" i="1"/>
  <c r="I1469" i="1" s="1"/>
  <c r="J1468" i="1"/>
  <c r="H1468" i="1"/>
  <c r="J1467" i="1"/>
  <c r="H1467" i="1"/>
  <c r="I1467" i="1" s="1"/>
  <c r="J1466" i="1"/>
  <c r="H1466" i="1"/>
  <c r="I1466" i="1" s="1"/>
  <c r="J1465" i="1"/>
  <c r="H1465" i="1"/>
  <c r="I1465" i="1" s="1"/>
  <c r="J1464" i="1"/>
  <c r="H1464" i="1"/>
  <c r="I1464" i="1" s="1"/>
  <c r="J1463" i="1"/>
  <c r="H1463" i="1"/>
  <c r="I1463" i="1" s="1"/>
  <c r="J1462" i="1"/>
  <c r="H1462" i="1"/>
  <c r="I1462" i="1" s="1"/>
  <c r="J1461" i="1"/>
  <c r="H1461" i="1"/>
  <c r="I1461" i="1" s="1"/>
  <c r="J1460" i="1"/>
  <c r="H1460" i="1"/>
  <c r="I1460" i="1" s="1"/>
  <c r="J1459" i="1"/>
  <c r="H1459" i="1"/>
  <c r="I1459" i="1" s="1"/>
  <c r="J1458" i="1"/>
  <c r="H1458" i="1"/>
  <c r="I1458" i="1" s="1"/>
  <c r="J1457" i="1"/>
  <c r="H1457" i="1"/>
  <c r="I1457" i="1" s="1"/>
  <c r="J1456" i="1"/>
  <c r="H1456" i="1"/>
  <c r="J1455" i="1"/>
  <c r="H1455" i="1"/>
  <c r="I1455" i="1" s="1"/>
  <c r="J1454" i="1"/>
  <c r="H1454" i="1"/>
  <c r="I1454" i="1" s="1"/>
  <c r="J1453" i="1"/>
  <c r="H1453" i="1"/>
  <c r="I1453" i="1" s="1"/>
  <c r="J1452" i="1"/>
  <c r="H1452" i="1"/>
  <c r="I1452" i="1" s="1"/>
  <c r="J1451" i="1"/>
  <c r="H1451" i="1"/>
  <c r="I1451" i="1" s="1"/>
  <c r="J1450" i="1"/>
  <c r="H1450" i="1"/>
  <c r="I1450" i="1" s="1"/>
  <c r="J1449" i="1"/>
  <c r="H1449" i="1"/>
  <c r="I1449" i="1" s="1"/>
  <c r="J1448" i="1"/>
  <c r="H1448" i="1"/>
  <c r="I1448" i="1" s="1"/>
  <c r="H1447" i="1"/>
  <c r="I1447" i="1" s="1"/>
  <c r="J1446" i="1"/>
  <c r="H1446" i="1"/>
  <c r="I1446" i="1" s="1"/>
  <c r="J1445" i="1"/>
  <c r="H1445" i="1"/>
  <c r="I1445" i="1" s="1"/>
  <c r="J1444" i="1"/>
  <c r="H1444" i="1"/>
  <c r="I1444" i="1" s="1"/>
  <c r="J1443" i="1"/>
  <c r="H1443" i="1"/>
  <c r="I1443" i="1" s="1"/>
  <c r="J1442" i="1"/>
  <c r="H1442" i="1"/>
  <c r="I1442" i="1" s="1"/>
  <c r="J1441" i="1"/>
  <c r="H1441" i="1"/>
  <c r="I1441" i="1" s="1"/>
  <c r="J1440" i="1"/>
  <c r="H1440" i="1"/>
  <c r="I1440" i="1" s="1"/>
  <c r="J1439" i="1"/>
  <c r="H1439" i="1"/>
  <c r="I1439" i="1" s="1"/>
  <c r="J1438" i="1"/>
  <c r="H1438" i="1"/>
  <c r="I1438" i="1" s="1"/>
  <c r="J1437" i="1"/>
  <c r="H1437" i="1"/>
  <c r="I1437" i="1" s="1"/>
  <c r="J1436" i="1"/>
  <c r="H1436" i="1"/>
  <c r="I1436" i="1" s="1"/>
  <c r="J1435" i="1"/>
  <c r="H1435" i="1"/>
  <c r="I1435" i="1" s="1"/>
  <c r="J1434" i="1"/>
  <c r="H1434" i="1"/>
  <c r="I1434" i="1" s="1"/>
  <c r="J1433" i="1"/>
  <c r="H1433" i="1"/>
  <c r="I1433" i="1" s="1"/>
  <c r="J1432" i="1"/>
  <c r="H1432" i="1"/>
  <c r="J1431" i="1"/>
  <c r="H1431" i="1"/>
  <c r="I1431" i="1" s="1"/>
  <c r="J1430" i="1"/>
  <c r="H1430" i="1"/>
  <c r="I1430" i="1" s="1"/>
  <c r="J1429" i="1"/>
  <c r="H1429" i="1"/>
  <c r="I1429" i="1" s="1"/>
  <c r="J1428" i="1"/>
  <c r="H1428" i="1"/>
  <c r="I1428" i="1" s="1"/>
  <c r="J1427" i="1"/>
  <c r="H1427" i="1"/>
  <c r="I1427" i="1" s="1"/>
  <c r="J1426" i="1"/>
  <c r="H1426" i="1"/>
  <c r="I1426" i="1" s="1"/>
  <c r="J1425" i="1"/>
  <c r="H1425" i="1"/>
  <c r="I1425" i="1" s="1"/>
  <c r="J1424" i="1"/>
  <c r="H1424" i="1"/>
  <c r="I1424" i="1" s="1"/>
  <c r="J1423" i="1"/>
  <c r="H1423" i="1"/>
  <c r="I1423" i="1" s="1"/>
  <c r="J1422" i="1"/>
  <c r="H1422" i="1"/>
  <c r="I1422" i="1" s="1"/>
  <c r="J1421" i="1"/>
  <c r="H1421" i="1"/>
  <c r="I1421" i="1" s="1"/>
  <c r="J1420" i="1"/>
  <c r="H1420" i="1"/>
  <c r="I1420" i="1" s="1"/>
  <c r="J1419" i="1"/>
  <c r="H1419" i="1"/>
  <c r="I1419" i="1" s="1"/>
  <c r="J1418" i="1"/>
  <c r="H1418" i="1"/>
  <c r="I1418" i="1" s="1"/>
  <c r="J1417" i="1"/>
  <c r="H1417" i="1"/>
  <c r="I1417" i="1" s="1"/>
  <c r="J1416" i="1"/>
  <c r="H1416" i="1"/>
  <c r="I1416" i="1" s="1"/>
  <c r="J1415" i="1"/>
  <c r="H1415" i="1"/>
  <c r="I1415" i="1" s="1"/>
  <c r="J1414" i="1"/>
  <c r="H1414" i="1"/>
  <c r="I1414" i="1" s="1"/>
  <c r="J1413" i="1"/>
  <c r="H1413" i="1"/>
  <c r="I1413" i="1" s="1"/>
  <c r="J1412" i="1"/>
  <c r="H1412" i="1"/>
  <c r="I1412" i="1" s="1"/>
  <c r="H1411" i="1"/>
  <c r="I1411" i="1" s="1"/>
  <c r="J1410" i="1"/>
  <c r="H1410" i="1"/>
  <c r="I1410" i="1" s="1"/>
  <c r="J1409" i="1"/>
  <c r="H1409" i="1"/>
  <c r="I1409" i="1" s="1"/>
  <c r="J1408" i="1"/>
  <c r="H1408" i="1"/>
  <c r="I1408" i="1" s="1"/>
  <c r="J1407" i="1"/>
  <c r="H1407" i="1"/>
  <c r="I1407" i="1" s="1"/>
  <c r="J1406" i="1"/>
  <c r="H1406" i="1"/>
  <c r="I1406" i="1" s="1"/>
  <c r="J1405" i="1"/>
  <c r="H1405" i="1"/>
  <c r="I1405" i="1" s="1"/>
  <c r="J1404" i="1"/>
  <c r="H1404" i="1"/>
  <c r="I1404" i="1" s="1"/>
  <c r="J1403" i="1"/>
  <c r="H1403" i="1"/>
  <c r="I1403" i="1" s="1"/>
  <c r="J1402" i="1"/>
  <c r="H1402" i="1"/>
  <c r="I1402" i="1" s="1"/>
  <c r="J1401" i="1"/>
  <c r="H1401" i="1"/>
  <c r="I1401" i="1" s="1"/>
  <c r="J1400" i="1"/>
  <c r="H1400" i="1"/>
  <c r="I1400" i="1" s="1"/>
  <c r="J1399" i="1"/>
  <c r="H1399" i="1"/>
  <c r="I1399" i="1" s="1"/>
  <c r="J1398" i="1"/>
  <c r="H1398" i="1"/>
  <c r="I1398" i="1" s="1"/>
  <c r="J1397" i="1"/>
  <c r="H1397" i="1"/>
  <c r="I1397" i="1" s="1"/>
  <c r="J1396" i="1"/>
  <c r="H1396" i="1"/>
  <c r="I1396" i="1" s="1"/>
  <c r="J1395" i="1"/>
  <c r="H1395" i="1"/>
  <c r="I1395" i="1" s="1"/>
  <c r="J1394" i="1"/>
  <c r="H1394" i="1"/>
  <c r="I1394" i="1" s="1"/>
  <c r="J1393" i="1"/>
  <c r="H1393" i="1"/>
  <c r="I1393" i="1" s="1"/>
  <c r="J1392" i="1"/>
  <c r="H1392" i="1"/>
  <c r="I1392" i="1" s="1"/>
  <c r="J1391" i="1"/>
  <c r="H1391" i="1"/>
  <c r="I1391" i="1" s="1"/>
  <c r="J1390" i="1"/>
  <c r="H1390" i="1"/>
  <c r="I1390" i="1" s="1"/>
  <c r="J1389" i="1"/>
  <c r="H1389" i="1"/>
  <c r="I1389" i="1" s="1"/>
  <c r="J1388" i="1"/>
  <c r="H1388" i="1"/>
  <c r="I1388" i="1" s="1"/>
  <c r="J1387" i="1"/>
  <c r="H1387" i="1"/>
  <c r="I1387" i="1" s="1"/>
  <c r="J1386" i="1"/>
  <c r="H1386" i="1"/>
  <c r="I1386" i="1" s="1"/>
  <c r="J1385" i="1"/>
  <c r="H1385" i="1"/>
  <c r="I1385" i="1" s="1"/>
  <c r="J1384" i="1"/>
  <c r="H1384" i="1"/>
  <c r="I1384" i="1" s="1"/>
  <c r="J1383" i="1"/>
  <c r="H1383" i="1"/>
  <c r="I1383" i="1" s="1"/>
  <c r="J1382" i="1"/>
  <c r="H1382" i="1"/>
  <c r="I1382" i="1" s="1"/>
  <c r="J1381" i="1"/>
  <c r="H1381" i="1"/>
  <c r="I1381" i="1" s="1"/>
  <c r="J1380" i="1"/>
  <c r="H1380" i="1"/>
  <c r="I1380" i="1" s="1"/>
  <c r="J1379" i="1"/>
  <c r="H1379" i="1"/>
  <c r="I1379" i="1" s="1"/>
  <c r="J1378" i="1"/>
  <c r="H1378" i="1"/>
  <c r="J1377" i="1"/>
  <c r="H1377" i="1"/>
  <c r="I1377" i="1" s="1"/>
  <c r="J1376" i="1"/>
  <c r="H1376" i="1"/>
  <c r="I1376" i="1" s="1"/>
  <c r="J1375" i="1"/>
  <c r="H1375" i="1"/>
  <c r="I1375" i="1" s="1"/>
  <c r="J1374" i="1"/>
  <c r="H1374" i="1"/>
  <c r="I1374" i="1" s="1"/>
  <c r="J1373" i="1"/>
  <c r="H1373" i="1"/>
  <c r="I1373" i="1" s="1"/>
  <c r="J1372" i="1"/>
  <c r="H1372" i="1"/>
  <c r="I1372" i="1" s="1"/>
  <c r="J1371" i="1"/>
  <c r="H1371" i="1"/>
  <c r="I1371" i="1" s="1"/>
  <c r="J1370" i="1"/>
  <c r="H1370" i="1"/>
  <c r="I1370" i="1" s="1"/>
  <c r="J1369" i="1"/>
  <c r="H1369" i="1"/>
  <c r="I1369" i="1" s="1"/>
  <c r="J1368" i="1"/>
  <c r="H1368" i="1"/>
  <c r="I1368" i="1" s="1"/>
  <c r="J1367" i="1"/>
  <c r="H1367" i="1"/>
  <c r="I1367" i="1" s="1"/>
  <c r="J1366" i="1"/>
  <c r="H1366" i="1"/>
  <c r="J1365" i="1"/>
  <c r="H1365" i="1"/>
  <c r="I1365" i="1" s="1"/>
  <c r="J1364" i="1"/>
  <c r="H1364" i="1"/>
  <c r="I1364" i="1" s="1"/>
  <c r="J1363" i="1"/>
  <c r="H1363" i="1"/>
  <c r="I1363" i="1" s="1"/>
  <c r="J1362" i="1"/>
  <c r="H1362" i="1"/>
  <c r="I1362" i="1" s="1"/>
  <c r="J1361" i="1"/>
  <c r="H1361" i="1"/>
  <c r="I1361" i="1" s="1"/>
  <c r="J1360" i="1"/>
  <c r="H1360" i="1"/>
  <c r="I1360" i="1" s="1"/>
  <c r="H1359" i="1"/>
  <c r="I1359" i="1" s="1"/>
  <c r="J1358" i="1"/>
  <c r="H1358" i="1"/>
  <c r="I1358" i="1" s="1"/>
  <c r="J1357" i="1"/>
  <c r="H1357" i="1"/>
  <c r="I1357" i="1" s="1"/>
  <c r="J1356" i="1"/>
  <c r="H1356" i="1"/>
  <c r="I1356" i="1" s="1"/>
  <c r="J1355" i="1"/>
  <c r="H1355" i="1"/>
  <c r="I1355" i="1" s="1"/>
  <c r="J1354" i="1"/>
  <c r="H1354" i="1"/>
  <c r="I1354" i="1" s="1"/>
  <c r="J1353" i="1"/>
  <c r="H1353" i="1"/>
  <c r="I1353" i="1" s="1"/>
  <c r="J1352" i="1"/>
  <c r="H1352" i="1"/>
  <c r="I1352" i="1" s="1"/>
  <c r="J1351" i="1"/>
  <c r="H1351" i="1"/>
  <c r="I1351" i="1" s="1"/>
  <c r="J1350" i="1"/>
  <c r="H1350" i="1"/>
  <c r="I1350" i="1" s="1"/>
  <c r="J1349" i="1"/>
  <c r="H1349" i="1"/>
  <c r="I1349" i="1" s="1"/>
  <c r="J1348" i="1"/>
  <c r="H1348" i="1"/>
  <c r="I1348" i="1" s="1"/>
  <c r="J1347" i="1"/>
  <c r="H1347" i="1"/>
  <c r="I1347" i="1" s="1"/>
  <c r="J1346" i="1"/>
  <c r="H1346" i="1"/>
  <c r="I1346" i="1" s="1"/>
  <c r="J1345" i="1"/>
  <c r="H1345" i="1"/>
  <c r="I1345" i="1" s="1"/>
  <c r="J1344" i="1"/>
  <c r="H1344" i="1"/>
  <c r="I1344" i="1" s="1"/>
  <c r="J1343" i="1"/>
  <c r="H1343" i="1"/>
  <c r="I1343" i="1" s="1"/>
  <c r="J1342" i="1"/>
  <c r="H1342" i="1"/>
  <c r="I1342" i="1" s="1"/>
  <c r="J1341" i="1"/>
  <c r="H1341" i="1"/>
  <c r="I1341" i="1" s="1"/>
  <c r="J1340" i="1"/>
  <c r="H1340" i="1"/>
  <c r="I1340" i="1" s="1"/>
  <c r="J1339" i="1"/>
  <c r="H1339" i="1"/>
  <c r="I1339" i="1" s="1"/>
  <c r="J1338" i="1"/>
  <c r="H1338" i="1"/>
  <c r="I1338" i="1" s="1"/>
  <c r="J1337" i="1"/>
  <c r="H1337" i="1"/>
  <c r="I1337" i="1" s="1"/>
  <c r="H1336" i="1"/>
  <c r="I1336" i="1" s="1"/>
  <c r="J1335" i="1"/>
  <c r="H1335" i="1"/>
  <c r="I1335" i="1" s="1"/>
  <c r="J1334" i="1"/>
  <c r="H1334" i="1"/>
  <c r="I1334" i="1" s="1"/>
  <c r="J1333" i="1"/>
  <c r="H1333" i="1"/>
  <c r="I1333" i="1" s="1"/>
  <c r="J1332" i="1"/>
  <c r="H1332" i="1"/>
  <c r="I1332" i="1" s="1"/>
  <c r="J1331" i="1"/>
  <c r="H1331" i="1"/>
  <c r="I1331" i="1" s="1"/>
  <c r="J1330" i="1"/>
  <c r="H1330" i="1"/>
  <c r="I1330" i="1" s="1"/>
  <c r="J1329" i="1"/>
  <c r="H1329" i="1"/>
  <c r="J1328" i="1"/>
  <c r="H1328" i="1"/>
  <c r="I1328" i="1" s="1"/>
  <c r="J1327" i="1"/>
  <c r="H1327" i="1"/>
  <c r="I1327" i="1" s="1"/>
  <c r="J1326" i="1"/>
  <c r="H1326" i="1"/>
  <c r="I1326" i="1" s="1"/>
  <c r="J1325" i="1"/>
  <c r="H1325" i="1"/>
  <c r="I1325" i="1" s="1"/>
  <c r="J1324" i="1"/>
  <c r="H1324" i="1"/>
  <c r="I1324" i="1" s="1"/>
  <c r="J1323" i="1"/>
  <c r="H1323" i="1"/>
  <c r="I1323" i="1" s="1"/>
  <c r="J1322" i="1"/>
  <c r="H1322" i="1"/>
  <c r="I1322" i="1" s="1"/>
  <c r="J1321" i="1"/>
  <c r="H1321" i="1"/>
  <c r="I1321" i="1" s="1"/>
  <c r="J1320" i="1"/>
  <c r="H1320" i="1"/>
  <c r="I1320" i="1" s="1"/>
  <c r="J1319" i="1"/>
  <c r="H1319" i="1"/>
  <c r="I1319" i="1" s="1"/>
  <c r="J1318" i="1"/>
  <c r="H1318" i="1"/>
  <c r="J1317" i="1"/>
  <c r="H1317" i="1"/>
  <c r="J1316" i="1"/>
  <c r="H1316" i="1"/>
  <c r="I1316" i="1" s="1"/>
  <c r="J1315" i="1"/>
  <c r="H1315" i="1"/>
  <c r="I1315" i="1" s="1"/>
  <c r="J1314" i="1"/>
  <c r="H1314" i="1"/>
  <c r="I1314" i="1" s="1"/>
  <c r="J1313" i="1"/>
  <c r="H1313" i="1"/>
  <c r="I1313" i="1" s="1"/>
  <c r="J1312" i="1"/>
  <c r="H1312" i="1"/>
  <c r="I1312" i="1" s="1"/>
  <c r="J1311" i="1"/>
  <c r="H1311" i="1"/>
  <c r="I1311" i="1" s="1"/>
  <c r="J1310" i="1"/>
  <c r="H1310" i="1"/>
  <c r="I1310" i="1" s="1"/>
  <c r="J1309" i="1"/>
  <c r="H1309" i="1"/>
  <c r="I1309" i="1" s="1"/>
  <c r="J1308" i="1"/>
  <c r="H1308" i="1"/>
  <c r="I1308" i="1" s="1"/>
  <c r="J1307" i="1"/>
  <c r="H1307" i="1"/>
  <c r="I1307" i="1" s="1"/>
  <c r="J1306" i="1"/>
  <c r="H1306" i="1"/>
  <c r="I1306" i="1" s="1"/>
  <c r="J1305" i="1"/>
  <c r="H1305" i="1"/>
  <c r="I1305" i="1" s="1"/>
  <c r="J1304" i="1"/>
  <c r="H1304" i="1"/>
  <c r="I1304" i="1" s="1"/>
  <c r="J1303" i="1"/>
  <c r="H1303" i="1"/>
  <c r="I1303" i="1" s="1"/>
  <c r="J1302" i="1"/>
  <c r="H1302" i="1"/>
  <c r="I1302" i="1" s="1"/>
  <c r="J1301" i="1"/>
  <c r="H1301" i="1"/>
  <c r="I1301" i="1" s="1"/>
  <c r="J1300" i="1"/>
  <c r="H1300" i="1"/>
  <c r="I1300" i="1" s="1"/>
  <c r="J1299" i="1"/>
  <c r="H1299" i="1"/>
  <c r="I1299" i="1" s="1"/>
  <c r="J1298" i="1"/>
  <c r="H1298" i="1"/>
  <c r="I1298" i="1" s="1"/>
  <c r="J1297" i="1"/>
  <c r="H1297" i="1"/>
  <c r="I1297" i="1" s="1"/>
  <c r="J1296" i="1"/>
  <c r="H1296" i="1"/>
  <c r="I1296" i="1" s="1"/>
  <c r="J1295" i="1"/>
  <c r="H1295" i="1"/>
  <c r="I1295" i="1" s="1"/>
  <c r="J1294" i="1"/>
  <c r="H1294" i="1"/>
  <c r="I1294" i="1" s="1"/>
  <c r="J1293" i="1"/>
  <c r="H1293" i="1"/>
  <c r="I1293" i="1" s="1"/>
  <c r="J1292" i="1"/>
  <c r="H1292" i="1"/>
  <c r="I1292" i="1" s="1"/>
  <c r="J1291" i="1"/>
  <c r="H1291" i="1"/>
  <c r="I1291" i="1" s="1"/>
  <c r="J1290" i="1"/>
  <c r="H1290" i="1"/>
  <c r="I1290" i="1" s="1"/>
  <c r="J1289" i="1"/>
  <c r="H1289" i="1"/>
  <c r="I1289" i="1" s="1"/>
  <c r="J1288" i="1"/>
  <c r="H1288" i="1"/>
  <c r="I1288" i="1" s="1"/>
  <c r="J1287" i="1"/>
  <c r="H1287" i="1"/>
  <c r="I1287" i="1" s="1"/>
  <c r="J1286" i="1"/>
  <c r="H1286" i="1"/>
  <c r="I1286" i="1" s="1"/>
  <c r="J1285" i="1"/>
  <c r="H1285" i="1"/>
  <c r="I1285" i="1" s="1"/>
  <c r="J1284" i="1"/>
  <c r="H1284" i="1"/>
  <c r="I1284" i="1" s="1"/>
  <c r="J1283" i="1"/>
  <c r="H1283" i="1"/>
  <c r="I1283" i="1" s="1"/>
  <c r="J1282" i="1"/>
  <c r="H1282" i="1"/>
  <c r="I1282" i="1" s="1"/>
  <c r="J1281" i="1"/>
  <c r="H1281" i="1"/>
  <c r="I1281" i="1" s="1"/>
  <c r="J1280" i="1"/>
  <c r="H1280" i="1"/>
  <c r="I1280" i="1" s="1"/>
  <c r="J1279" i="1"/>
  <c r="H1279" i="1"/>
  <c r="I1279" i="1" s="1"/>
  <c r="J1278" i="1"/>
  <c r="H1278" i="1"/>
  <c r="I1278" i="1" s="1"/>
  <c r="J1277" i="1"/>
  <c r="H1277" i="1"/>
  <c r="I1277" i="1" s="1"/>
  <c r="J1276" i="1"/>
  <c r="H1276" i="1"/>
  <c r="I1276" i="1" s="1"/>
  <c r="J1275" i="1"/>
  <c r="H1275" i="1"/>
  <c r="I1275" i="1" s="1"/>
  <c r="J1274" i="1"/>
  <c r="H1274" i="1"/>
  <c r="I1274" i="1" s="1"/>
  <c r="J1273" i="1"/>
  <c r="H1273" i="1"/>
  <c r="I1273" i="1" s="1"/>
  <c r="J1272" i="1"/>
  <c r="H1272" i="1"/>
  <c r="I1272" i="1" s="1"/>
  <c r="J1271" i="1"/>
  <c r="H1271" i="1"/>
  <c r="I1271" i="1" s="1"/>
  <c r="J1270" i="1"/>
  <c r="H1270" i="1"/>
  <c r="I1270" i="1" s="1"/>
  <c r="J1269" i="1"/>
  <c r="H1269" i="1"/>
  <c r="I1269" i="1" s="1"/>
  <c r="J1268" i="1"/>
  <c r="H1268" i="1"/>
  <c r="I1268" i="1" s="1"/>
  <c r="J1267" i="1"/>
  <c r="H1267" i="1"/>
  <c r="I1267" i="1" s="1"/>
  <c r="J1266" i="1"/>
  <c r="H1266" i="1"/>
  <c r="I1266" i="1" s="1"/>
  <c r="J1265" i="1"/>
  <c r="H1265" i="1"/>
  <c r="I1265" i="1" s="1"/>
  <c r="J1264" i="1"/>
  <c r="H1264" i="1"/>
  <c r="I1264" i="1" s="1"/>
  <c r="J1263" i="1"/>
  <c r="H1263" i="1"/>
  <c r="I1263" i="1" s="1"/>
  <c r="J1262" i="1"/>
  <c r="H1262" i="1"/>
  <c r="I1262" i="1" s="1"/>
  <c r="H1261" i="1"/>
  <c r="I1261" i="1" s="1"/>
  <c r="J1260" i="1"/>
  <c r="H1260" i="1"/>
  <c r="I1260" i="1" s="1"/>
  <c r="J1259" i="1"/>
  <c r="H1259" i="1"/>
  <c r="I1259" i="1" s="1"/>
  <c r="J1258" i="1"/>
  <c r="H1258" i="1"/>
  <c r="I1258" i="1" s="1"/>
  <c r="J1257" i="1"/>
  <c r="H1257" i="1"/>
  <c r="I1257" i="1" s="1"/>
  <c r="J1256" i="1"/>
  <c r="H1256" i="1"/>
  <c r="I1256" i="1" s="1"/>
  <c r="J1255" i="1"/>
  <c r="H1255" i="1"/>
  <c r="I1255" i="1" s="1"/>
  <c r="J1254" i="1"/>
  <c r="H1254" i="1"/>
  <c r="I1254" i="1" s="1"/>
  <c r="J1253" i="1"/>
  <c r="H1253" i="1"/>
  <c r="I1253" i="1" s="1"/>
  <c r="J1252" i="1"/>
  <c r="H1252" i="1"/>
  <c r="I1252" i="1" s="1"/>
  <c r="J1251" i="1"/>
  <c r="H1251" i="1"/>
  <c r="I1251" i="1" s="1"/>
  <c r="J1250" i="1"/>
  <c r="H1250" i="1"/>
  <c r="I1250" i="1" s="1"/>
  <c r="J1249" i="1"/>
  <c r="H1249" i="1"/>
  <c r="I1249" i="1" s="1"/>
  <c r="J1248" i="1"/>
  <c r="H1248" i="1"/>
  <c r="I1248" i="1" s="1"/>
  <c r="J1247" i="1"/>
  <c r="H1247" i="1"/>
  <c r="I1247" i="1" s="1"/>
  <c r="J1246" i="1"/>
  <c r="H1246" i="1"/>
  <c r="I1246" i="1" s="1"/>
  <c r="J1245" i="1"/>
  <c r="H1245" i="1"/>
  <c r="I1245" i="1" s="1"/>
  <c r="J1244" i="1"/>
  <c r="H1244" i="1"/>
  <c r="I1244" i="1" s="1"/>
  <c r="J1243" i="1"/>
  <c r="H1243" i="1"/>
  <c r="I1243" i="1" s="1"/>
  <c r="J1242" i="1"/>
  <c r="H1242" i="1"/>
  <c r="I1242" i="1" s="1"/>
  <c r="J1241" i="1"/>
  <c r="H1241" i="1"/>
  <c r="I1241" i="1" s="1"/>
  <c r="J1240" i="1"/>
  <c r="H1240" i="1"/>
  <c r="I1240" i="1" s="1"/>
  <c r="J1239" i="1"/>
  <c r="H1239" i="1"/>
  <c r="I1239" i="1" s="1"/>
  <c r="J1238" i="1"/>
  <c r="H1238" i="1"/>
  <c r="I1238" i="1" s="1"/>
  <c r="J1237" i="1"/>
  <c r="H1237" i="1"/>
  <c r="I1237" i="1" s="1"/>
  <c r="J1236" i="1"/>
  <c r="H1236" i="1"/>
  <c r="I1236" i="1" s="1"/>
  <c r="J1235" i="1"/>
  <c r="H1235" i="1"/>
  <c r="I1235" i="1" s="1"/>
  <c r="J1234" i="1"/>
  <c r="H1234" i="1"/>
  <c r="I1234" i="1" s="1"/>
  <c r="J1233" i="1"/>
  <c r="H1233" i="1"/>
  <c r="I1233" i="1" s="1"/>
  <c r="J1232" i="1"/>
  <c r="H1232" i="1"/>
  <c r="I1232" i="1" s="1"/>
  <c r="J1231" i="1"/>
  <c r="H1231" i="1"/>
  <c r="I1231" i="1" s="1"/>
  <c r="J1230" i="1"/>
  <c r="H1230" i="1"/>
  <c r="I1230" i="1" s="1"/>
  <c r="J1229" i="1"/>
  <c r="H1229" i="1"/>
  <c r="I1229" i="1" s="1"/>
  <c r="J1228" i="1"/>
  <c r="J1227" i="1" s="1"/>
  <c r="H1228" i="1"/>
  <c r="I1228" i="1" s="1"/>
  <c r="H1227" i="1"/>
  <c r="I1227" i="1" s="1"/>
  <c r="J1226" i="1"/>
  <c r="H1226" i="1"/>
  <c r="I1226" i="1" s="1"/>
  <c r="J1225" i="1"/>
  <c r="H1225" i="1"/>
  <c r="I1225" i="1" s="1"/>
  <c r="J1224" i="1"/>
  <c r="H1224" i="1"/>
  <c r="I1224" i="1" s="1"/>
  <c r="J1223" i="1"/>
  <c r="H1223" i="1"/>
  <c r="I1223" i="1" s="1"/>
  <c r="J1222" i="1"/>
  <c r="H1222" i="1"/>
  <c r="I1222" i="1" s="1"/>
  <c r="J1221" i="1"/>
  <c r="H1221" i="1"/>
  <c r="I1221" i="1" s="1"/>
  <c r="J1220" i="1"/>
  <c r="H1220" i="1"/>
  <c r="I1220" i="1" s="1"/>
  <c r="J1219" i="1"/>
  <c r="H1219" i="1"/>
  <c r="I1219" i="1" s="1"/>
  <c r="J1218" i="1"/>
  <c r="H1218" i="1"/>
  <c r="I1218" i="1" s="1"/>
  <c r="J1217" i="1"/>
  <c r="H1217" i="1"/>
  <c r="I1217" i="1" s="1"/>
  <c r="J1216" i="1"/>
  <c r="H1216" i="1"/>
  <c r="I1216" i="1" s="1"/>
  <c r="J1215" i="1"/>
  <c r="H1215" i="1"/>
  <c r="I1215" i="1" s="1"/>
  <c r="J1214" i="1"/>
  <c r="H1214" i="1"/>
  <c r="I1214" i="1" s="1"/>
  <c r="J1213" i="1"/>
  <c r="H1213" i="1"/>
  <c r="I1213" i="1" s="1"/>
  <c r="J1212" i="1"/>
  <c r="H1212" i="1"/>
  <c r="I1212" i="1" s="1"/>
  <c r="J1211" i="1"/>
  <c r="H1211" i="1"/>
  <c r="I1211" i="1" s="1"/>
  <c r="J1210" i="1"/>
  <c r="H1210" i="1"/>
  <c r="I1210" i="1" s="1"/>
  <c r="J1209" i="1"/>
  <c r="H1209" i="1"/>
  <c r="I1209" i="1" s="1"/>
  <c r="J1208" i="1"/>
  <c r="H1208" i="1"/>
  <c r="I1208" i="1" s="1"/>
  <c r="J1207" i="1"/>
  <c r="H1207" i="1"/>
  <c r="I1207" i="1" s="1"/>
  <c r="J1206" i="1"/>
  <c r="H1206" i="1"/>
  <c r="I1206" i="1" s="1"/>
  <c r="J1205" i="1"/>
  <c r="H1205" i="1"/>
  <c r="I1205" i="1" s="1"/>
  <c r="J1204" i="1"/>
  <c r="H1204" i="1"/>
  <c r="I1204" i="1" s="1"/>
  <c r="J1203" i="1"/>
  <c r="H1203" i="1"/>
  <c r="I1203" i="1" s="1"/>
  <c r="J1202" i="1"/>
  <c r="H1202" i="1"/>
  <c r="I1202" i="1" s="1"/>
  <c r="J1201" i="1"/>
  <c r="H1201" i="1"/>
  <c r="I1201" i="1" s="1"/>
  <c r="J1200" i="1"/>
  <c r="H1200" i="1"/>
  <c r="I1200" i="1" s="1"/>
  <c r="J1199" i="1"/>
  <c r="H1199" i="1"/>
  <c r="I1199" i="1" s="1"/>
  <c r="J1198" i="1"/>
  <c r="H1198" i="1"/>
  <c r="I1198" i="1" s="1"/>
  <c r="J1197" i="1"/>
  <c r="H1197" i="1"/>
  <c r="I1197" i="1" s="1"/>
  <c r="J1196" i="1"/>
  <c r="H1196" i="1"/>
  <c r="I1196" i="1" s="1"/>
  <c r="J1195" i="1"/>
  <c r="H1195" i="1"/>
  <c r="I1195" i="1" s="1"/>
  <c r="J1194" i="1"/>
  <c r="H1194" i="1"/>
  <c r="I1194" i="1" s="1"/>
  <c r="J1193" i="1"/>
  <c r="H1193" i="1"/>
  <c r="I1193" i="1" s="1"/>
  <c r="J1192" i="1"/>
  <c r="H1192" i="1"/>
  <c r="I1192" i="1" s="1"/>
  <c r="J1191" i="1"/>
  <c r="H1191" i="1"/>
  <c r="I1191" i="1" s="1"/>
  <c r="J1190" i="1"/>
  <c r="H1190" i="1"/>
  <c r="I1190" i="1" s="1"/>
  <c r="J1189" i="1"/>
  <c r="H1189" i="1"/>
  <c r="I1189" i="1" s="1"/>
  <c r="J1188" i="1"/>
  <c r="H1188" i="1"/>
  <c r="I1188" i="1" s="1"/>
  <c r="J1187" i="1"/>
  <c r="H1187" i="1"/>
  <c r="I1187" i="1" s="1"/>
  <c r="J1186" i="1"/>
  <c r="H1186" i="1"/>
  <c r="I1186" i="1" s="1"/>
  <c r="J1185" i="1"/>
  <c r="H1185" i="1"/>
  <c r="I1185" i="1" s="1"/>
  <c r="J1184" i="1"/>
  <c r="H1184" i="1"/>
  <c r="I1184" i="1" s="1"/>
  <c r="J1183" i="1"/>
  <c r="H1183" i="1"/>
  <c r="I1183" i="1" s="1"/>
  <c r="J1182" i="1"/>
  <c r="H1182" i="1"/>
  <c r="I1182" i="1" s="1"/>
  <c r="J1181" i="1"/>
  <c r="H1181" i="1"/>
  <c r="I1181" i="1" s="1"/>
  <c r="J1180" i="1"/>
  <c r="H1180" i="1"/>
  <c r="I1180" i="1" s="1"/>
  <c r="J1178" i="1"/>
  <c r="H1178" i="1"/>
  <c r="I1178" i="1" s="1"/>
  <c r="J1177" i="1"/>
  <c r="H1177" i="1"/>
  <c r="I1177" i="1" s="1"/>
  <c r="J1176" i="1"/>
  <c r="H1176" i="1"/>
  <c r="I1176" i="1" s="1"/>
  <c r="J1175" i="1"/>
  <c r="H1175" i="1"/>
  <c r="I1175" i="1" s="1"/>
  <c r="J1174" i="1"/>
  <c r="H1174" i="1"/>
  <c r="I1174" i="1" s="1"/>
  <c r="J1173" i="1"/>
  <c r="H1173" i="1"/>
  <c r="I1173" i="1" s="1"/>
  <c r="J1172" i="1"/>
  <c r="H1172" i="1"/>
  <c r="I1172" i="1" s="1"/>
  <c r="J1171" i="1"/>
  <c r="H1171" i="1"/>
  <c r="I1171" i="1" s="1"/>
  <c r="J1170" i="1"/>
  <c r="H1170" i="1"/>
  <c r="I1170" i="1" s="1"/>
  <c r="J1169" i="1"/>
  <c r="H1169" i="1"/>
  <c r="I1169" i="1" s="1"/>
  <c r="J1168" i="1"/>
  <c r="H1168" i="1"/>
  <c r="I1168" i="1" s="1"/>
  <c r="J1167" i="1"/>
  <c r="H1167" i="1"/>
  <c r="I1167" i="1" s="1"/>
  <c r="J1166" i="1"/>
  <c r="H1166" i="1"/>
  <c r="I1166" i="1" s="1"/>
  <c r="J1165" i="1"/>
  <c r="H1165" i="1"/>
  <c r="I1165" i="1" s="1"/>
  <c r="J1164" i="1"/>
  <c r="H1164" i="1"/>
  <c r="I1164" i="1" s="1"/>
  <c r="J1163" i="1"/>
  <c r="H1163" i="1"/>
  <c r="I1163" i="1" s="1"/>
  <c r="J1162" i="1"/>
  <c r="H1162" i="1"/>
  <c r="I1162" i="1" s="1"/>
  <c r="J1160" i="1"/>
  <c r="H1160" i="1"/>
  <c r="I1160" i="1" s="1"/>
  <c r="J1159" i="1"/>
  <c r="H1159" i="1"/>
  <c r="I1159" i="1" s="1"/>
  <c r="J1158" i="1"/>
  <c r="H1158" i="1"/>
  <c r="I1158" i="1" s="1"/>
  <c r="J1157" i="1"/>
  <c r="H1157" i="1"/>
  <c r="I1157" i="1" s="1"/>
  <c r="J1156" i="1"/>
  <c r="H1156" i="1"/>
  <c r="I1156" i="1" s="1"/>
  <c r="J1155" i="1"/>
  <c r="H1155" i="1"/>
  <c r="I1155" i="1" s="1"/>
  <c r="J1154" i="1"/>
  <c r="H1154" i="1"/>
  <c r="I1154" i="1" s="1"/>
  <c r="J1153" i="1"/>
  <c r="H1153" i="1"/>
  <c r="I1153" i="1" s="1"/>
  <c r="J1152" i="1"/>
  <c r="H1152" i="1"/>
  <c r="I1152" i="1" s="1"/>
  <c r="J1151" i="1"/>
  <c r="H1151" i="1"/>
  <c r="I1151" i="1" s="1"/>
  <c r="J1150" i="1"/>
  <c r="H1150" i="1"/>
  <c r="I1150" i="1" s="1"/>
  <c r="J1149" i="1"/>
  <c r="H1149" i="1"/>
  <c r="I1149" i="1" s="1"/>
  <c r="J1148" i="1"/>
  <c r="H1148" i="1"/>
  <c r="I1148" i="1" s="1"/>
  <c r="J1146" i="1"/>
  <c r="H1146" i="1"/>
  <c r="I1146" i="1" s="1"/>
  <c r="J1145" i="1"/>
  <c r="H1145" i="1"/>
  <c r="I1145" i="1" s="1"/>
  <c r="J1144" i="1"/>
  <c r="H1144" i="1"/>
  <c r="I1144" i="1" s="1"/>
  <c r="J1143" i="1"/>
  <c r="H1143" i="1"/>
  <c r="I1143" i="1" s="1"/>
  <c r="J1142" i="1"/>
  <c r="H1142" i="1"/>
  <c r="I1142" i="1" s="1"/>
  <c r="J1141" i="1"/>
  <c r="H1141" i="1"/>
  <c r="I1141" i="1" s="1"/>
  <c r="J1140" i="1"/>
  <c r="H1140" i="1"/>
  <c r="I1140" i="1" s="1"/>
  <c r="J1139" i="1"/>
  <c r="H1139" i="1"/>
  <c r="J1138" i="1"/>
  <c r="H1138" i="1"/>
  <c r="I1138" i="1" s="1"/>
  <c r="J1137" i="1"/>
  <c r="H1137" i="1"/>
  <c r="I1137" i="1" s="1"/>
  <c r="J1136" i="1"/>
  <c r="H1136" i="1"/>
  <c r="I1136" i="1" s="1"/>
  <c r="J1135" i="1"/>
  <c r="H1135" i="1"/>
  <c r="I1135" i="1" s="1"/>
  <c r="J1134" i="1"/>
  <c r="H1134" i="1"/>
  <c r="I1134" i="1" s="1"/>
  <c r="J1133" i="1"/>
  <c r="H1133" i="1"/>
  <c r="I1133" i="1" s="1"/>
  <c r="J1132" i="1"/>
  <c r="H1132" i="1"/>
  <c r="I1132" i="1" s="1"/>
  <c r="J1131" i="1"/>
  <c r="H1131" i="1"/>
  <c r="I1131" i="1" s="1"/>
  <c r="J1130" i="1"/>
  <c r="H1130" i="1"/>
  <c r="I1130" i="1" s="1"/>
  <c r="J1129" i="1"/>
  <c r="H1129" i="1"/>
  <c r="I1129" i="1" s="1"/>
  <c r="J1128" i="1"/>
  <c r="H1128" i="1"/>
  <c r="I1128" i="1" s="1"/>
  <c r="J1127" i="1"/>
  <c r="H1127" i="1"/>
  <c r="I1127" i="1" s="1"/>
  <c r="J1126" i="1"/>
  <c r="H1126" i="1"/>
  <c r="J1125" i="1"/>
  <c r="H1125" i="1"/>
  <c r="I1125" i="1" s="1"/>
  <c r="J1124" i="1"/>
  <c r="H1124" i="1"/>
  <c r="I1124" i="1" s="1"/>
  <c r="J1123" i="1"/>
  <c r="H1123" i="1"/>
  <c r="I1123" i="1" s="1"/>
  <c r="J1122" i="1"/>
  <c r="H1122" i="1"/>
  <c r="I1122" i="1" s="1"/>
  <c r="J1121" i="1"/>
  <c r="H1121" i="1"/>
  <c r="I1121" i="1" s="1"/>
  <c r="J1120" i="1"/>
  <c r="H1120" i="1"/>
  <c r="I1120" i="1" s="1"/>
  <c r="J1119" i="1"/>
  <c r="H1119" i="1"/>
  <c r="I1119" i="1" s="1"/>
  <c r="J1118" i="1"/>
  <c r="H1118" i="1"/>
  <c r="I1118" i="1" s="1"/>
  <c r="J1117" i="1"/>
  <c r="H1117" i="1"/>
  <c r="I1117" i="1" s="1"/>
  <c r="J1116" i="1"/>
  <c r="H1116" i="1"/>
  <c r="I1116" i="1" s="1"/>
  <c r="J1115" i="1"/>
  <c r="H1115" i="1"/>
  <c r="I1115" i="1" s="1"/>
  <c r="J1114" i="1"/>
  <c r="H1114" i="1"/>
  <c r="I1114" i="1" s="1"/>
  <c r="J1113" i="1"/>
  <c r="H1113" i="1"/>
  <c r="I1113" i="1" s="1"/>
  <c r="J1111" i="1"/>
  <c r="H1111" i="1"/>
  <c r="I1111" i="1" s="1"/>
  <c r="J1110" i="1"/>
  <c r="H1110" i="1"/>
  <c r="I1110" i="1" s="1"/>
  <c r="J1109" i="1"/>
  <c r="H1109" i="1"/>
  <c r="I1109" i="1" s="1"/>
  <c r="J1108" i="1"/>
  <c r="H1108" i="1"/>
  <c r="I1108" i="1" s="1"/>
  <c r="J1107" i="1"/>
  <c r="H1107" i="1"/>
  <c r="I1107" i="1" s="1"/>
  <c r="J1106" i="1"/>
  <c r="H1106" i="1"/>
  <c r="I1106" i="1" s="1"/>
  <c r="J1105" i="1"/>
  <c r="H1105" i="1"/>
  <c r="I1105" i="1" s="1"/>
  <c r="J1104" i="1"/>
  <c r="H1104" i="1"/>
  <c r="I1104" i="1" s="1"/>
  <c r="J1103" i="1"/>
  <c r="H1103" i="1"/>
  <c r="I1103" i="1" s="1"/>
  <c r="J1102" i="1"/>
  <c r="H1102" i="1"/>
  <c r="I1102" i="1" s="1"/>
  <c r="J1101" i="1"/>
  <c r="H1101" i="1"/>
  <c r="I1101" i="1" s="1"/>
  <c r="J1100" i="1"/>
  <c r="H1100" i="1"/>
  <c r="I1100" i="1" s="1"/>
  <c r="J1099" i="1"/>
  <c r="H1099" i="1"/>
  <c r="I1099" i="1" s="1"/>
  <c r="J1098" i="1"/>
  <c r="H1098" i="1"/>
  <c r="I1098" i="1" s="1"/>
  <c r="J1097" i="1"/>
  <c r="H1097" i="1"/>
  <c r="I1097" i="1" s="1"/>
  <c r="J1096" i="1"/>
  <c r="H1096" i="1"/>
  <c r="I1096" i="1" s="1"/>
  <c r="J1095" i="1"/>
  <c r="H1095" i="1"/>
  <c r="I1095" i="1" s="1"/>
  <c r="J1094" i="1"/>
  <c r="H1094" i="1"/>
  <c r="I1094" i="1" s="1"/>
  <c r="J1093" i="1"/>
  <c r="H1093" i="1"/>
  <c r="I1093" i="1" s="1"/>
  <c r="J1092" i="1"/>
  <c r="H1092" i="1"/>
  <c r="I1092" i="1" s="1"/>
  <c r="J1091" i="1"/>
  <c r="H1091" i="1"/>
  <c r="I1091" i="1" s="1"/>
  <c r="J1090" i="1"/>
  <c r="H1090" i="1"/>
  <c r="I1090" i="1" s="1"/>
  <c r="J1089" i="1"/>
  <c r="H1089" i="1"/>
  <c r="I1089" i="1" s="1"/>
  <c r="J1088" i="1"/>
  <c r="H1088" i="1"/>
  <c r="I1088" i="1" s="1"/>
  <c r="J1087" i="1"/>
  <c r="H1087" i="1"/>
  <c r="I1087" i="1" s="1"/>
  <c r="J1086" i="1"/>
  <c r="H1086" i="1"/>
  <c r="I1086" i="1" s="1"/>
  <c r="J1085" i="1"/>
  <c r="H1085" i="1"/>
  <c r="I1085" i="1" s="1"/>
  <c r="J1084" i="1"/>
  <c r="H1084" i="1"/>
  <c r="I1084" i="1" s="1"/>
  <c r="J1083" i="1"/>
  <c r="H1083" i="1"/>
  <c r="I1083" i="1" s="1"/>
  <c r="J1082" i="1"/>
  <c r="H1082" i="1"/>
  <c r="I1082" i="1" s="1"/>
  <c r="J1081" i="1"/>
  <c r="H1081" i="1"/>
  <c r="I1081" i="1" s="1"/>
  <c r="J1080" i="1"/>
  <c r="H1080" i="1"/>
  <c r="I1080" i="1" s="1"/>
  <c r="J1079" i="1"/>
  <c r="H1079" i="1"/>
  <c r="I1079" i="1" s="1"/>
  <c r="J1078" i="1"/>
  <c r="H1078" i="1"/>
  <c r="I1078" i="1" s="1"/>
  <c r="J1077" i="1"/>
  <c r="H1077" i="1"/>
  <c r="I1077" i="1" s="1"/>
  <c r="J1076" i="1"/>
  <c r="H1076" i="1"/>
  <c r="I1076" i="1" s="1"/>
  <c r="J1075" i="1"/>
  <c r="H1075" i="1"/>
  <c r="I1075" i="1" s="1"/>
  <c r="J1074" i="1"/>
  <c r="H1074" i="1"/>
  <c r="I1074" i="1" s="1"/>
  <c r="J1073" i="1"/>
  <c r="H1073" i="1"/>
  <c r="I1073" i="1" s="1"/>
  <c r="J1072" i="1"/>
  <c r="H1072" i="1"/>
  <c r="I1072" i="1" s="1"/>
  <c r="J1071" i="1"/>
  <c r="H1071" i="1"/>
  <c r="I1071" i="1" s="1"/>
  <c r="J1070" i="1"/>
  <c r="H1070" i="1"/>
  <c r="I1070" i="1" s="1"/>
  <c r="J1069" i="1"/>
  <c r="H1069" i="1"/>
  <c r="I1069" i="1" s="1"/>
  <c r="J1068" i="1"/>
  <c r="H1068" i="1"/>
  <c r="I1068" i="1" s="1"/>
  <c r="J1067" i="1"/>
  <c r="H1067" i="1"/>
  <c r="I1067" i="1" s="1"/>
  <c r="J1066" i="1"/>
  <c r="H1066" i="1"/>
  <c r="I1066" i="1" s="1"/>
  <c r="J1065" i="1"/>
  <c r="H1065" i="1"/>
  <c r="I1065" i="1" s="1"/>
  <c r="J1063" i="1"/>
  <c r="H1063" i="1"/>
  <c r="I1063" i="1" s="1"/>
  <c r="J1062" i="1"/>
  <c r="H1062" i="1"/>
  <c r="I1062" i="1" s="1"/>
  <c r="J1061" i="1"/>
  <c r="H1061" i="1"/>
  <c r="I1061" i="1" s="1"/>
  <c r="J1060" i="1"/>
  <c r="H1060" i="1"/>
  <c r="I1060" i="1" s="1"/>
  <c r="J1059" i="1"/>
  <c r="H1059" i="1"/>
  <c r="I1059" i="1" s="1"/>
  <c r="J1058" i="1"/>
  <c r="H1058" i="1"/>
  <c r="I1058" i="1" s="1"/>
  <c r="J1057" i="1"/>
  <c r="H1057" i="1"/>
  <c r="I1057" i="1" s="1"/>
  <c r="J1056" i="1"/>
  <c r="H1056" i="1"/>
  <c r="I1056" i="1" s="1"/>
  <c r="H1054" i="1"/>
  <c r="I1054" i="1" s="1"/>
  <c r="J1049" i="1"/>
  <c r="H1049" i="1"/>
  <c r="I1049" i="1" s="1"/>
  <c r="J1041" i="1"/>
  <c r="H1041" i="1"/>
  <c r="I1041" i="1" s="1"/>
  <c r="J1037" i="1"/>
  <c r="H1037" i="1"/>
  <c r="I1037" i="1" s="1"/>
  <c r="J1032" i="1"/>
  <c r="H1032" i="1"/>
  <c r="I1032" i="1" s="1"/>
  <c r="J1030" i="1"/>
  <c r="H1030" i="1"/>
  <c r="I1030" i="1" s="1"/>
  <c r="J1027" i="1"/>
  <c r="H1027" i="1"/>
  <c r="I1027" i="1" s="1"/>
  <c r="J1024" i="1"/>
  <c r="H1024" i="1"/>
  <c r="I1024" i="1" s="1"/>
  <c r="J1023" i="1"/>
  <c r="H1023" i="1"/>
  <c r="I1023" i="1" s="1"/>
  <c r="J1022" i="1"/>
  <c r="H1022" i="1"/>
  <c r="I1022" i="1" s="1"/>
  <c r="J1021" i="1"/>
  <c r="H1021" i="1"/>
  <c r="I1021" i="1" s="1"/>
  <c r="J1020" i="1"/>
  <c r="H1020" i="1"/>
  <c r="I1020" i="1" s="1"/>
  <c r="J1019" i="1"/>
  <c r="H1019" i="1"/>
  <c r="I1019" i="1" s="1"/>
  <c r="J1018" i="1"/>
  <c r="H1018" i="1"/>
  <c r="I1018" i="1" s="1"/>
  <c r="J1017" i="1"/>
  <c r="H1017" i="1"/>
  <c r="I1017" i="1" s="1"/>
  <c r="J1016" i="1"/>
  <c r="H1016" i="1"/>
  <c r="I1016" i="1" s="1"/>
  <c r="J1015" i="1"/>
  <c r="H1015" i="1"/>
  <c r="I1015" i="1" s="1"/>
  <c r="J1014" i="1"/>
  <c r="H1014" i="1"/>
  <c r="I1014" i="1" s="1"/>
  <c r="J1013" i="1"/>
  <c r="H1013" i="1"/>
  <c r="I1013" i="1" s="1"/>
  <c r="J1012" i="1"/>
  <c r="H1012" i="1"/>
  <c r="I1012" i="1" s="1"/>
  <c r="J1009" i="1"/>
  <c r="H1009" i="1"/>
  <c r="I1009" i="1" s="1"/>
  <c r="J1008" i="1"/>
  <c r="H1008" i="1"/>
  <c r="I1008" i="1" s="1"/>
  <c r="J1007" i="1"/>
  <c r="H1007" i="1"/>
  <c r="I1007" i="1" s="1"/>
  <c r="J1006" i="1"/>
  <c r="H1006" i="1"/>
  <c r="I1006" i="1" s="1"/>
  <c r="J1005" i="1"/>
  <c r="H1005" i="1"/>
  <c r="I1005" i="1" s="1"/>
  <c r="J1004" i="1"/>
  <c r="H1004" i="1"/>
  <c r="I1004" i="1" s="1"/>
  <c r="J1003" i="1"/>
  <c r="H1003" i="1"/>
  <c r="I1003" i="1" s="1"/>
  <c r="J1002" i="1"/>
  <c r="H1002" i="1"/>
  <c r="I1002" i="1" s="1"/>
  <c r="J1001" i="1"/>
  <c r="H1001" i="1"/>
  <c r="I1001" i="1" s="1"/>
  <c r="J1000" i="1"/>
  <c r="H1000" i="1"/>
  <c r="I1000" i="1" s="1"/>
  <c r="J999" i="1"/>
  <c r="H999" i="1"/>
  <c r="I999" i="1" s="1"/>
  <c r="J998" i="1"/>
  <c r="H998" i="1"/>
  <c r="I998" i="1" s="1"/>
  <c r="J997" i="1"/>
  <c r="H997" i="1"/>
  <c r="I997" i="1" s="1"/>
  <c r="J996" i="1"/>
  <c r="H996" i="1"/>
  <c r="I996" i="1" s="1"/>
  <c r="J995" i="1"/>
  <c r="H995" i="1"/>
  <c r="I995" i="1" s="1"/>
  <c r="J994" i="1"/>
  <c r="H994" i="1"/>
  <c r="I994" i="1" s="1"/>
  <c r="J993" i="1"/>
  <c r="H993" i="1"/>
  <c r="I993" i="1" s="1"/>
  <c r="J988" i="1"/>
  <c r="H988" i="1"/>
  <c r="I988" i="1" s="1"/>
  <c r="J987" i="1"/>
  <c r="H987" i="1"/>
  <c r="I987" i="1" s="1"/>
  <c r="J986" i="1"/>
  <c r="J985" i="1"/>
  <c r="H985" i="1"/>
  <c r="I985" i="1" s="1"/>
  <c r="J984" i="1"/>
  <c r="H984" i="1"/>
  <c r="I984" i="1" s="1"/>
  <c r="J982" i="1"/>
  <c r="H982" i="1"/>
  <c r="I982" i="1" s="1"/>
  <c r="J979" i="1"/>
  <c r="H979" i="1"/>
  <c r="I979" i="1" s="1"/>
  <c r="J978" i="1"/>
  <c r="H978" i="1"/>
  <c r="I978" i="1" s="1"/>
  <c r="J975" i="1"/>
  <c r="H975" i="1"/>
  <c r="I975" i="1" s="1"/>
  <c r="J972" i="1"/>
  <c r="J971" i="1"/>
  <c r="H971" i="1"/>
  <c r="I971" i="1" s="1"/>
  <c r="J970" i="1"/>
  <c r="H970" i="1"/>
  <c r="I970" i="1" s="1"/>
  <c r="J963" i="1"/>
  <c r="H963" i="1"/>
  <c r="I963" i="1" s="1"/>
  <c r="H960" i="1"/>
  <c r="I960" i="1" s="1"/>
  <c r="H959" i="1"/>
  <c r="I959" i="1" s="1"/>
  <c r="J958" i="1"/>
  <c r="H958" i="1"/>
  <c r="I958" i="1" s="1"/>
  <c r="J957" i="1"/>
  <c r="H957" i="1"/>
  <c r="I957" i="1" s="1"/>
  <c r="J956" i="1"/>
  <c r="H956" i="1"/>
  <c r="I956" i="1" s="1"/>
  <c r="H955" i="1"/>
  <c r="I955" i="1" s="1"/>
  <c r="J949" i="1"/>
  <c r="H949" i="1"/>
  <c r="I949" i="1" s="1"/>
  <c r="J948" i="1"/>
  <c r="H948" i="1"/>
  <c r="I948" i="1" s="1"/>
  <c r="J947" i="1"/>
  <c r="H947" i="1"/>
  <c r="I947" i="1" s="1"/>
  <c r="J942" i="1"/>
  <c r="H942" i="1"/>
  <c r="I942" i="1" s="1"/>
  <c r="J941" i="1"/>
  <c r="H941" i="1"/>
  <c r="I941" i="1" s="1"/>
  <c r="J939" i="1"/>
  <c r="H939" i="1"/>
  <c r="I939" i="1" s="1"/>
  <c r="J938" i="1"/>
  <c r="H938" i="1"/>
  <c r="I938" i="1" s="1"/>
  <c r="J937" i="1"/>
  <c r="H937" i="1"/>
  <c r="I937" i="1" s="1"/>
  <c r="J936" i="1"/>
  <c r="H936" i="1"/>
  <c r="I936" i="1" s="1"/>
  <c r="J935" i="1"/>
  <c r="H935" i="1"/>
  <c r="I935" i="1" s="1"/>
  <c r="J934" i="1"/>
  <c r="H934" i="1"/>
  <c r="I934" i="1" s="1"/>
  <c r="J933" i="1"/>
  <c r="H933" i="1"/>
  <c r="I933" i="1" s="1"/>
  <c r="J932" i="1"/>
  <c r="H932" i="1"/>
  <c r="I932" i="1" s="1"/>
  <c r="H929" i="1"/>
  <c r="I929" i="1" s="1"/>
  <c r="H928" i="1"/>
  <c r="I928" i="1" s="1"/>
  <c r="H927" i="1"/>
  <c r="I927" i="1" s="1"/>
  <c r="J926" i="1"/>
  <c r="H926" i="1"/>
  <c r="I926" i="1" s="1"/>
  <c r="J925" i="1"/>
  <c r="H925" i="1"/>
  <c r="I925" i="1" s="1"/>
  <c r="H924" i="1"/>
  <c r="I924" i="1" s="1"/>
  <c r="H923" i="1"/>
  <c r="I923" i="1" s="1"/>
  <c r="J922" i="1"/>
  <c r="H922" i="1"/>
  <c r="I922" i="1" s="1"/>
  <c r="J921" i="1"/>
  <c r="H921" i="1"/>
  <c r="I921" i="1" s="1"/>
  <c r="J920" i="1"/>
  <c r="H920" i="1"/>
  <c r="I920" i="1" s="1"/>
  <c r="J919" i="1"/>
  <c r="H919" i="1"/>
  <c r="I919" i="1" s="1"/>
  <c r="J918" i="1"/>
  <c r="H918" i="1"/>
  <c r="I918" i="1" s="1"/>
  <c r="J916" i="1"/>
  <c r="H916" i="1"/>
  <c r="I916" i="1" s="1"/>
  <c r="J915" i="1"/>
  <c r="H915" i="1"/>
  <c r="I915" i="1" s="1"/>
  <c r="J914" i="1"/>
  <c r="H914" i="1"/>
  <c r="I914" i="1" s="1"/>
  <c r="J913" i="1"/>
  <c r="H913" i="1"/>
  <c r="I913" i="1" s="1"/>
  <c r="J912" i="1"/>
  <c r="H912" i="1"/>
  <c r="I912" i="1" s="1"/>
  <c r="J910" i="1"/>
  <c r="H910" i="1"/>
  <c r="I910" i="1" s="1"/>
  <c r="J909" i="1"/>
  <c r="H909" i="1"/>
  <c r="I909" i="1" s="1"/>
  <c r="J908" i="1"/>
  <c r="H908" i="1"/>
  <c r="I908" i="1" s="1"/>
  <c r="J907" i="1"/>
  <c r="H907" i="1"/>
  <c r="I907" i="1" s="1"/>
  <c r="J906" i="1"/>
  <c r="H906" i="1"/>
  <c r="I906" i="1" s="1"/>
  <c r="J905" i="1"/>
  <c r="H905" i="1"/>
  <c r="I905" i="1" s="1"/>
  <c r="J904" i="1"/>
  <c r="H904" i="1"/>
  <c r="I904" i="1" s="1"/>
  <c r="J903" i="1"/>
  <c r="H903" i="1"/>
  <c r="I903" i="1" s="1"/>
  <c r="J902" i="1"/>
  <c r="H902" i="1"/>
  <c r="I902" i="1" s="1"/>
  <c r="J901" i="1"/>
  <c r="H901" i="1"/>
  <c r="I901" i="1" s="1"/>
  <c r="J900" i="1"/>
  <c r="J897" i="1"/>
  <c r="H897" i="1"/>
  <c r="I897" i="1" s="1"/>
  <c r="J894" i="1"/>
  <c r="H894" i="1"/>
  <c r="I894" i="1" s="1"/>
  <c r="J893" i="1"/>
  <c r="H893" i="1"/>
  <c r="I893" i="1" s="1"/>
  <c r="J887" i="1"/>
  <c r="H887" i="1"/>
  <c r="I887" i="1" s="1"/>
  <c r="J886" i="1"/>
  <c r="H886" i="1"/>
  <c r="I886" i="1" s="1"/>
  <c r="J885" i="1"/>
  <c r="H885" i="1"/>
  <c r="I885" i="1" s="1"/>
  <c r="J881" i="1"/>
  <c r="H881" i="1"/>
  <c r="I881" i="1" s="1"/>
  <c r="J879" i="1"/>
  <c r="H879" i="1"/>
  <c r="I879" i="1" s="1"/>
  <c r="J877" i="1"/>
  <c r="H877" i="1"/>
  <c r="I877" i="1" s="1"/>
  <c r="J876" i="1"/>
  <c r="J874" i="1"/>
  <c r="H874" i="1"/>
  <c r="I874" i="1" s="1"/>
  <c r="J873" i="1"/>
  <c r="H873" i="1"/>
  <c r="I873" i="1" s="1"/>
  <c r="J872" i="1"/>
  <c r="H872" i="1"/>
  <c r="I872" i="1" s="1"/>
  <c r="J856" i="1"/>
  <c r="H856" i="1"/>
  <c r="I856" i="1" s="1"/>
  <c r="J855" i="1"/>
  <c r="H855" i="1"/>
  <c r="I855" i="1" s="1"/>
  <c r="J853" i="1"/>
  <c r="H853" i="1"/>
  <c r="I853" i="1" s="1"/>
  <c r="J850" i="1"/>
  <c r="H850" i="1"/>
  <c r="I850" i="1" s="1"/>
  <c r="J847" i="1"/>
  <c r="H847" i="1"/>
  <c r="I847" i="1" s="1"/>
  <c r="J845" i="1"/>
  <c r="H845" i="1"/>
  <c r="I845" i="1" s="1"/>
  <c r="J842" i="1"/>
  <c r="H842" i="1"/>
  <c r="I842" i="1" s="1"/>
  <c r="J841" i="1"/>
  <c r="H841" i="1"/>
  <c r="I841" i="1" s="1"/>
  <c r="J840" i="1"/>
  <c r="H840" i="1"/>
  <c r="I840" i="1" s="1"/>
  <c r="J839" i="1"/>
  <c r="H839" i="1"/>
  <c r="I839" i="1" s="1"/>
  <c r="J838" i="1"/>
  <c r="H838" i="1"/>
  <c r="I838" i="1" s="1"/>
  <c r="J837" i="1"/>
  <c r="H837" i="1"/>
  <c r="I837" i="1" s="1"/>
  <c r="J832" i="1"/>
  <c r="H832" i="1"/>
  <c r="I832" i="1" s="1"/>
  <c r="J831" i="1"/>
  <c r="H831" i="1"/>
  <c r="I831" i="1" s="1"/>
  <c r="J825" i="1"/>
  <c r="H825" i="1"/>
  <c r="I825" i="1" s="1"/>
  <c r="J824" i="1"/>
  <c r="H824" i="1"/>
  <c r="I824" i="1" s="1"/>
  <c r="J815" i="1"/>
  <c r="J814" i="1"/>
  <c r="J813" i="1"/>
  <c r="J810" i="1"/>
  <c r="J809" i="1"/>
  <c r="J808" i="1"/>
  <c r="J807" i="1"/>
  <c r="J806" i="1"/>
  <c r="J803" i="1"/>
  <c r="J802" i="1"/>
  <c r="J801" i="1"/>
  <c r="J798" i="1"/>
  <c r="J797" i="1"/>
  <c r="J796" i="1"/>
  <c r="J795" i="1"/>
  <c r="J794" i="1"/>
  <c r="J791" i="1"/>
  <c r="J789" i="1"/>
  <c r="J788" i="1"/>
  <c r="J785" i="1"/>
  <c r="J784" i="1"/>
  <c r="J783" i="1"/>
  <c r="J782" i="1"/>
  <c r="J772" i="1"/>
  <c r="J768" i="1"/>
  <c r="J766" i="1"/>
  <c r="H766" i="1"/>
  <c r="I766" i="1" s="1"/>
  <c r="J765" i="1"/>
  <c r="J764" i="1"/>
  <c r="J760" i="1"/>
  <c r="J759" i="1"/>
  <c r="J757" i="1"/>
  <c r="J755" i="1"/>
  <c r="J749" i="1"/>
  <c r="H748" i="1"/>
  <c r="I748" i="1" s="1"/>
  <c r="J747" i="1"/>
  <c r="J745" i="1"/>
  <c r="J744" i="1"/>
  <c r="J741" i="1"/>
  <c r="J735" i="1"/>
  <c r="J728" i="1"/>
  <c r="J726" i="1"/>
  <c r="J725" i="1"/>
  <c r="J721" i="1"/>
  <c r="J719" i="1"/>
  <c r="J717" i="1"/>
  <c r="J712" i="1"/>
  <c r="J710" i="1"/>
  <c r="H710" i="1"/>
  <c r="I710" i="1" s="1"/>
  <c r="J708" i="1"/>
  <c r="J705" i="1"/>
  <c r="J703" i="1"/>
  <c r="J700" i="1"/>
  <c r="H700" i="1"/>
  <c r="I700" i="1" s="1"/>
  <c r="J699" i="1"/>
  <c r="J694" i="1"/>
  <c r="J690" i="1"/>
  <c r="J688" i="1"/>
  <c r="H688" i="1"/>
  <c r="I688" i="1" s="1"/>
  <c r="J687" i="1"/>
  <c r="H687" i="1"/>
  <c r="I687" i="1" s="1"/>
  <c r="J685" i="1"/>
  <c r="H685" i="1"/>
  <c r="I685" i="1" s="1"/>
  <c r="J684" i="1"/>
  <c r="H684" i="1"/>
  <c r="I684" i="1" s="1"/>
  <c r="J680" i="1"/>
  <c r="H680" i="1"/>
  <c r="I680" i="1" s="1"/>
  <c r="J679" i="1"/>
  <c r="H679" i="1"/>
  <c r="I679" i="1" s="1"/>
  <c r="J678" i="1"/>
  <c r="H678" i="1"/>
  <c r="I678" i="1" s="1"/>
  <c r="J677" i="1"/>
  <c r="H677" i="1"/>
  <c r="I677" i="1" s="1"/>
  <c r="J672" i="1"/>
  <c r="H672" i="1"/>
  <c r="I672" i="1" s="1"/>
  <c r="J671" i="1"/>
  <c r="H671" i="1"/>
  <c r="I671" i="1" s="1"/>
  <c r="J670" i="1"/>
  <c r="H670" i="1"/>
  <c r="I670" i="1" s="1"/>
  <c r="J668" i="1"/>
  <c r="H668" i="1"/>
  <c r="I668" i="1" s="1"/>
  <c r="J667" i="1"/>
  <c r="H629" i="1"/>
  <c r="I629" i="1" s="1"/>
  <c r="J470" i="1"/>
  <c r="H470" i="1"/>
  <c r="I470" i="1" s="1"/>
  <c r="J38" i="1"/>
  <c r="H38" i="1"/>
  <c r="I38" i="1" s="1"/>
  <c r="J35" i="1"/>
  <c r="H35" i="1"/>
  <c r="I35" i="1" s="1"/>
  <c r="J32" i="1"/>
  <c r="H32" i="1"/>
  <c r="I32" i="1" s="1"/>
  <c r="J28" i="1"/>
  <c r="H28" i="1"/>
  <c r="I28" i="1" s="1"/>
  <c r="J21" i="1"/>
  <c r="H21" i="1"/>
  <c r="I21" i="1" s="1"/>
  <c r="J20" i="1"/>
  <c r="H20" i="1"/>
  <c r="I20" i="1" s="1"/>
  <c r="J11" i="1"/>
  <c r="H11" i="1"/>
  <c r="I11" i="1" s="1"/>
  <c r="J10" i="1"/>
  <c r="H10" i="1"/>
  <c r="I10" i="1" s="1"/>
  <c r="J9" i="1"/>
  <c r="H9" i="1"/>
  <c r="I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11" authorId="0" shapeId="0" xr:uid="{00000000-0006-0000-0000-000001000000}">
      <text>
        <r>
          <rPr>
            <sz val="11"/>
            <color theme="1"/>
            <rFont val="Calibri"/>
            <scheme val="minor"/>
          </rPr>
          <t>Radicchio
======</t>
        </r>
      </text>
    </comment>
    <comment ref="F127" authorId="0" shapeId="0" xr:uid="{00000000-0006-0000-0000-000002000000}">
      <text>
        <r>
          <rPr>
            <sz val="11"/>
            <color theme="1"/>
            <rFont val="Calibri"/>
            <scheme val="minor"/>
          </rPr>
          <t>Organic
======</t>
        </r>
      </text>
    </comment>
    <comment ref="F129" authorId="0" shapeId="0" xr:uid="{00000000-0006-0000-0000-000003000000}">
      <text>
        <r>
          <rPr>
            <sz val="11"/>
            <color theme="1"/>
            <rFont val="Calibri"/>
            <scheme val="minor"/>
          </rPr>
          <t>organic
======</t>
        </r>
      </text>
    </comment>
    <comment ref="F135" authorId="0" shapeId="0" xr:uid="{00000000-0006-0000-0000-000004000000}">
      <text>
        <r>
          <rPr>
            <sz val="11"/>
            <color theme="1"/>
            <rFont val="Calibri"/>
            <scheme val="minor"/>
          </rPr>
          <t>organic
======</t>
        </r>
      </text>
    </comment>
    <comment ref="F137" authorId="0" shapeId="0" xr:uid="{00000000-0006-0000-0000-000005000000}">
      <text>
        <r>
          <rPr>
            <sz val="11"/>
            <color theme="1"/>
            <rFont val="Calibri"/>
            <scheme val="minor"/>
          </rPr>
          <t>organic
======</t>
        </r>
      </text>
    </comment>
    <comment ref="F138" authorId="0" shapeId="0" xr:uid="{00000000-0006-0000-0000-000006000000}">
      <text>
        <r>
          <rPr>
            <sz val="11"/>
            <color theme="1"/>
            <rFont val="Calibri"/>
            <scheme val="minor"/>
          </rPr>
          <t>Organic
======</t>
        </r>
      </text>
    </comment>
    <comment ref="F178" authorId="0" shapeId="0" xr:uid="{00000000-0006-0000-0000-000007000000}">
      <text>
        <r>
          <rPr>
            <sz val="11"/>
            <color theme="1"/>
            <rFont val="Calibri"/>
            <scheme val="minor"/>
          </rPr>
          <t>zucchini
======</t>
        </r>
      </text>
    </comment>
    <comment ref="F201" authorId="0" shapeId="0" xr:uid="{00000000-0006-0000-0000-000008000000}">
      <text>
        <r>
          <rPr>
            <sz val="11"/>
            <color theme="1"/>
            <rFont val="Calibri"/>
            <scheme val="minor"/>
          </rPr>
          <t>Russet
======</t>
        </r>
      </text>
    </comment>
    <comment ref="F216" authorId="0" shapeId="0" xr:uid="{00000000-0006-0000-0000-000009000000}">
      <text>
        <r>
          <rPr>
            <sz val="11"/>
            <color theme="1"/>
            <rFont val="Calibri"/>
            <scheme val="minor"/>
          </rPr>
          <t>Fancy
======</t>
        </r>
      </text>
    </comment>
    <comment ref="F219" authorId="0" shapeId="0" xr:uid="{00000000-0006-0000-0000-00000A000000}">
      <text>
        <r>
          <rPr>
            <sz val="11"/>
            <color theme="1"/>
            <rFont val="Calibri"/>
            <scheme val="minor"/>
          </rPr>
          <t>Chili Habanero
======</t>
        </r>
      </text>
    </comment>
    <comment ref="F220" authorId="0" shapeId="0" xr:uid="{00000000-0006-0000-0000-00000B000000}">
      <text>
        <r>
          <rPr>
            <sz val="11"/>
            <color theme="1"/>
            <rFont val="Calibri"/>
            <scheme val="minor"/>
          </rPr>
          <t>chili
======</t>
        </r>
      </text>
    </comment>
    <comment ref="F221" authorId="0" shapeId="0" xr:uid="{00000000-0006-0000-0000-00000C000000}">
      <text>
        <r>
          <rPr>
            <sz val="11"/>
            <color theme="1"/>
            <rFont val="Calibri"/>
            <scheme val="minor"/>
          </rPr>
          <t>valencia fancy
======</t>
        </r>
      </text>
    </comment>
    <comment ref="F222" authorId="0" shapeId="0" xr:uid="{00000000-0006-0000-0000-00000D000000}">
      <text>
        <r>
          <rPr>
            <sz val="11"/>
            <color theme="1"/>
            <rFont val="Calibri"/>
            <scheme val="minor"/>
          </rPr>
          <t>chili
======</t>
        </r>
      </text>
    </comment>
    <comment ref="F223" authorId="0" shapeId="0" xr:uid="{00000000-0006-0000-0000-00000E000000}">
      <text>
        <r>
          <rPr>
            <sz val="11"/>
            <color theme="1"/>
            <rFont val="Calibri"/>
            <scheme val="minor"/>
          </rPr>
          <t>chili
======</t>
        </r>
      </text>
    </comment>
    <comment ref="F226" authorId="0" shapeId="0" xr:uid="{00000000-0006-0000-0000-00000F000000}">
      <text>
        <r>
          <rPr>
            <sz val="11"/>
            <color theme="1"/>
            <rFont val="Calibri"/>
            <scheme val="minor"/>
          </rPr>
          <t>chili
======</t>
        </r>
      </text>
    </comment>
    <comment ref="F229" authorId="0" shapeId="0" xr:uid="{00000000-0006-0000-0000-000010000000}">
      <text>
        <r>
          <rPr>
            <sz val="11"/>
            <color theme="1"/>
            <rFont val="Calibri"/>
            <scheme val="minor"/>
          </rPr>
          <t>Russet
======</t>
        </r>
      </text>
    </comment>
    <comment ref="F233" authorId="0" shapeId="0" xr:uid="{00000000-0006-0000-0000-000011000000}">
      <text>
        <r>
          <rPr>
            <sz val="11"/>
            <color theme="1"/>
            <rFont val="Calibri"/>
            <scheme val="minor"/>
          </rPr>
          <t>Granny Smith
======</t>
        </r>
      </text>
    </comment>
    <comment ref="F234" authorId="0" shapeId="0" xr:uid="{00000000-0006-0000-0000-000012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241" authorId="0" shapeId="0" xr:uid="{00000000-0006-0000-0000-000013000000}">
      <text>
        <r>
          <rPr>
            <sz val="11"/>
            <color theme="1"/>
            <rFont val="Calibri"/>
            <scheme val="minor"/>
          </rPr>
          <t>Russet
======</t>
        </r>
      </text>
    </comment>
    <comment ref="F276" authorId="0" shapeId="0" xr:uid="{00000000-0006-0000-0000-000014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277" authorId="0" shapeId="0" xr:uid="{00000000-0006-0000-0000-000015000000}">
      <text>
        <r>
          <rPr>
            <sz val="11"/>
            <color theme="1"/>
            <rFont val="Calibri"/>
            <scheme val="minor"/>
          </rPr>
          <t>Gala
======</t>
        </r>
      </text>
    </comment>
    <comment ref="F278" authorId="0" shapeId="0" xr:uid="{91BAD673-74D4-472F-A326-E68FB68A4693}">
      <text>
        <r>
          <rPr>
            <sz val="11"/>
            <color theme="1"/>
            <rFont val="Calibri"/>
            <scheme val="minor"/>
          </rPr>
          <t>Red
======</t>
        </r>
      </text>
    </comment>
    <comment ref="F286" authorId="0" shapeId="0" xr:uid="{00000000-0006-0000-0000-000017000000}">
      <text>
        <r>
          <rPr>
            <sz val="11"/>
            <color theme="1"/>
            <rFont val="Calibri"/>
            <scheme val="minor"/>
          </rPr>
          <t>Fuji
======</t>
        </r>
      </text>
    </comment>
    <comment ref="F287" authorId="0" shapeId="0" xr:uid="{00000000-0006-0000-0000-000018000000}">
      <text>
        <r>
          <rPr>
            <sz val="11"/>
            <color theme="1"/>
            <rFont val="Calibri"/>
            <scheme val="minor"/>
          </rPr>
          <t>Fuji
======</t>
        </r>
      </text>
    </comment>
    <comment ref="F297" authorId="0" shapeId="0" xr:uid="{00000000-0006-0000-0000-000019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313" authorId="0" shapeId="0" xr:uid="{00000000-0006-0000-0000-00001A000000}">
      <text>
        <r>
          <rPr>
            <sz val="11"/>
            <color theme="1"/>
            <rFont val="Calibri"/>
            <scheme val="minor"/>
          </rPr>
          <t>Russet
======</t>
        </r>
      </text>
    </comment>
    <comment ref="F314" authorId="0" shapeId="0" xr:uid="{00000000-0006-0000-0000-00001B000000}">
      <text>
        <r>
          <rPr>
            <sz val="11"/>
            <color theme="1"/>
            <rFont val="Calibri"/>
            <scheme val="minor"/>
          </rPr>
          <t>Red Rose
======</t>
        </r>
      </text>
    </comment>
    <comment ref="F316" authorId="0" shapeId="0" xr:uid="{00000000-0006-0000-0000-00001C000000}">
      <text>
        <r>
          <rPr>
            <sz val="11"/>
            <color theme="1"/>
            <rFont val="Calibri"/>
            <scheme val="minor"/>
          </rPr>
          <t>zucchini
======</t>
        </r>
      </text>
    </comment>
    <comment ref="F319" authorId="0" shapeId="0" xr:uid="{00000000-0006-0000-0000-00001D000000}">
      <text>
        <r>
          <rPr>
            <sz val="11"/>
            <color theme="1"/>
            <rFont val="Calibri"/>
            <scheme val="minor"/>
          </rPr>
          <t>Seedless
======</t>
        </r>
      </text>
    </comment>
    <comment ref="F324" authorId="0" shapeId="0" xr:uid="{00000000-0006-0000-0000-00001E000000}">
      <text>
        <r>
          <rPr>
            <sz val="11"/>
            <color theme="1"/>
            <rFont val="Calibri"/>
            <scheme val="minor"/>
          </rPr>
          <t>lobok
======</t>
        </r>
      </text>
    </comment>
    <comment ref="F328" authorId="0" shapeId="0" xr:uid="{00000000-0006-0000-0000-00001F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329" authorId="0" shapeId="0" xr:uid="{00000000-0006-0000-0000-000020000000}">
      <text>
        <r>
          <rPr>
            <sz val="11"/>
            <color theme="1"/>
            <rFont val="Calibri"/>
            <scheme val="minor"/>
          </rPr>
          <t>Fuji
======</t>
        </r>
      </text>
    </comment>
    <comment ref="F330" authorId="0" shapeId="0" xr:uid="{00000000-0006-0000-0000-000021000000}">
      <text>
        <r>
          <rPr>
            <sz val="11"/>
            <color theme="1"/>
            <rFont val="Calibri"/>
            <scheme val="minor"/>
          </rPr>
          <t>Fuji
======</t>
        </r>
      </text>
    </comment>
    <comment ref="F331" authorId="0" shapeId="0" xr:uid="{00000000-0006-0000-0000-000022000000}">
      <text>
        <r>
          <rPr>
            <sz val="11"/>
            <color theme="1"/>
            <rFont val="Calibri"/>
            <scheme val="minor"/>
          </rPr>
          <t>Fuji
======</t>
        </r>
      </text>
    </comment>
    <comment ref="F332" authorId="0" shapeId="0" xr:uid="{00000000-0006-0000-0000-000023000000}">
      <text>
        <r>
          <rPr>
            <sz val="11"/>
            <color theme="1"/>
            <rFont val="Calibri"/>
            <scheme val="minor"/>
          </rPr>
          <t>Granny Smith
======</t>
        </r>
      </text>
    </comment>
    <comment ref="F339" authorId="0" shapeId="0" xr:uid="{00000000-0006-0000-0000-000024000000}">
      <text>
        <r>
          <rPr>
            <sz val="11"/>
            <color theme="1"/>
            <rFont val="Calibri"/>
            <scheme val="minor"/>
          </rPr>
          <t>Organic
======</t>
        </r>
      </text>
    </comment>
    <comment ref="F352" authorId="0" shapeId="0" xr:uid="{00000000-0006-0000-0000-000025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353" authorId="0" shapeId="0" xr:uid="{00000000-0006-0000-0000-000026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354" authorId="0" shapeId="0" xr:uid="{00000000-0006-0000-0000-000027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356" authorId="0" shapeId="0" xr:uid="{00000000-0006-0000-0000-000028000000}">
      <text>
        <r>
          <rPr>
            <sz val="11"/>
            <color theme="1"/>
            <rFont val="Calibri"/>
            <scheme val="minor"/>
          </rPr>
          <t>Jalapeno
======</t>
        </r>
      </text>
    </comment>
    <comment ref="F373" authorId="0" shapeId="0" xr:uid="{00000000-0006-0000-0000-000029000000}">
      <text>
        <r>
          <rPr>
            <sz val="11"/>
            <color theme="1"/>
            <rFont val="Calibri"/>
            <scheme val="minor"/>
          </rPr>
          <t>Curly
======</t>
        </r>
      </text>
    </comment>
    <comment ref="F374" authorId="0" shapeId="0" xr:uid="{00000000-0006-0000-0000-00002A000000}">
      <text>
        <r>
          <rPr>
            <sz val="11"/>
            <color theme="1"/>
            <rFont val="Calibri"/>
            <scheme val="minor"/>
          </rPr>
          <t>snow
======</t>
        </r>
      </text>
    </comment>
    <comment ref="F379" authorId="0" shapeId="0" xr:uid="{00000000-0006-0000-0000-00002B000000}">
      <text>
        <r>
          <rPr>
            <sz val="11"/>
            <color theme="1"/>
            <rFont val="Calibri"/>
            <scheme val="minor"/>
          </rPr>
          <t>Russet
======</t>
        </r>
      </text>
    </comment>
    <comment ref="F380" authorId="0" shapeId="0" xr:uid="{00000000-0006-0000-0000-00002C000000}">
      <text>
        <r>
          <rPr>
            <sz val="11"/>
            <color theme="1"/>
            <rFont val="Calibri"/>
            <scheme val="minor"/>
          </rPr>
          <t>Idaho Bag 5#
======</t>
        </r>
      </text>
    </comment>
    <comment ref="F381" authorId="0" shapeId="0" xr:uid="{00000000-0006-0000-0000-00002D000000}">
      <text>
        <r>
          <rPr>
            <sz val="11"/>
            <color theme="1"/>
            <rFont val="Calibri"/>
            <scheme val="minor"/>
          </rPr>
          <t>Idaho Bag 10#
======</t>
        </r>
      </text>
    </comment>
    <comment ref="F382" authorId="0" shapeId="0" xr:uid="{00000000-0006-0000-0000-00002E000000}">
      <text>
        <r>
          <rPr>
            <sz val="11"/>
            <color theme="1"/>
            <rFont val="Calibri"/>
            <scheme val="minor"/>
          </rPr>
          <t>Red Rose 'A'
======</t>
        </r>
      </text>
    </comment>
    <comment ref="F383" authorId="0" shapeId="0" xr:uid="{00000000-0006-0000-0000-00002F000000}">
      <text>
        <r>
          <rPr>
            <sz val="11"/>
            <color theme="1"/>
            <rFont val="Calibri"/>
            <scheme val="minor"/>
          </rPr>
          <t>Yukon Gold 'A'
======</t>
        </r>
      </text>
    </comment>
    <comment ref="F404" authorId="0" shapeId="0" xr:uid="{00000000-0006-0000-0000-000030000000}">
      <text>
        <r>
          <rPr>
            <sz val="11"/>
            <color theme="1"/>
            <rFont val="Calibri"/>
            <scheme val="minor"/>
          </rPr>
          <t>kabocha
======</t>
        </r>
      </text>
    </comment>
    <comment ref="F419" authorId="0" shapeId="0" xr:uid="{00000000-0006-0000-0000-000031000000}">
      <text>
        <r>
          <rPr>
            <sz val="11"/>
            <color theme="1"/>
            <rFont val="Calibri"/>
            <scheme val="minor"/>
          </rPr>
          <t>Fuji Organic
======</t>
        </r>
      </text>
    </comment>
    <comment ref="F420" authorId="0" shapeId="0" xr:uid="{00000000-0006-0000-0000-000032000000}">
      <text>
        <r>
          <rPr>
            <sz val="11"/>
            <color theme="1"/>
            <rFont val="Calibri"/>
            <scheme val="minor"/>
          </rPr>
          <t>Honeycrisp
======</t>
        </r>
      </text>
    </comment>
    <comment ref="F421" authorId="0" shapeId="0" xr:uid="{00000000-0006-0000-0000-000033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426" authorId="0" shapeId="0" xr:uid="{00000000-0006-0000-0000-000034000000}">
      <text>
        <r>
          <rPr>
            <sz val="11"/>
            <color theme="1"/>
            <rFont val="Calibri"/>
            <scheme val="minor"/>
          </rPr>
          <t>Medley Baby
======</t>
        </r>
      </text>
    </comment>
    <comment ref="F429" authorId="0" shapeId="0" xr:uid="{00000000-0006-0000-0000-000035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430" authorId="0" shapeId="0" xr:uid="{00000000-0006-0000-0000-000036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431" authorId="0" shapeId="0" xr:uid="{00000000-0006-0000-0000-000037000000}">
      <text>
        <r>
          <rPr>
            <sz val="11"/>
            <color theme="1"/>
            <rFont val="Calibri"/>
            <scheme val="minor"/>
          </rPr>
          <t>Yellow
======</t>
        </r>
      </text>
    </comment>
    <comment ref="F434" authorId="0" shapeId="0" xr:uid="{00000000-0006-0000-0000-000038000000}">
      <text>
        <r>
          <rPr>
            <sz val="11"/>
            <color theme="1"/>
            <rFont val="Calibri"/>
            <scheme val="minor"/>
          </rPr>
          <t>Red cabbage
======</t>
        </r>
      </text>
    </comment>
    <comment ref="F447" authorId="0" shapeId="0" xr:uid="{00000000-0006-0000-0000-000039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449" authorId="0" shapeId="0" xr:uid="{00000000-0006-0000-0000-00003A000000}">
      <text>
        <r>
          <rPr>
            <sz val="11"/>
            <color theme="1"/>
            <rFont val="Calibri"/>
            <scheme val="minor"/>
          </rPr>
          <t>White for baking
======</t>
        </r>
      </text>
    </comment>
    <comment ref="F450" authorId="0" shapeId="0" xr:uid="{00000000-0006-0000-0000-00003B000000}">
      <text>
        <r>
          <rPr>
            <sz val="11"/>
            <color theme="1"/>
            <rFont val="Calibri"/>
            <scheme val="minor"/>
          </rPr>
          <t>White, Russet
======</t>
        </r>
      </text>
    </comment>
    <comment ref="F460" authorId="0" shapeId="0" xr:uid="{00000000-0006-0000-0000-00003C000000}">
      <text>
        <r>
          <rPr>
            <sz val="11"/>
            <color theme="1"/>
            <rFont val="Calibri"/>
            <scheme val="minor"/>
          </rPr>
          <t>Red Cabbage
======</t>
        </r>
      </text>
    </comment>
    <comment ref="F464" authorId="0" shapeId="0" xr:uid="{00000000-0006-0000-0000-00003D000000}">
      <text>
        <r>
          <rPr>
            <sz val="11"/>
            <color theme="1"/>
            <rFont val="Calibri"/>
            <scheme val="minor"/>
          </rPr>
          <t>white
======</t>
        </r>
      </text>
    </comment>
    <comment ref="F465" authorId="0" shapeId="0" xr:uid="{00000000-0006-0000-0000-00003E000000}">
      <text>
        <r>
          <rPr>
            <sz val="11"/>
            <color theme="1"/>
            <rFont val="Calibri"/>
            <scheme val="minor"/>
          </rPr>
          <t>Yellow
======</t>
        </r>
      </text>
    </comment>
    <comment ref="F475" authorId="0" shapeId="0" xr:uid="{00000000-0006-0000-0000-00003F000000}">
      <text>
        <r>
          <rPr>
            <sz val="11"/>
            <color theme="1"/>
            <rFont val="Calibri"/>
            <scheme val="minor"/>
          </rPr>
          <t>Curly
======</t>
        </r>
      </text>
    </comment>
    <comment ref="F476" authorId="0" shapeId="0" xr:uid="{00000000-0006-0000-0000-000040000000}">
      <text>
        <r>
          <rPr>
            <sz val="11"/>
            <color theme="1"/>
            <rFont val="Calibri"/>
            <scheme val="minor"/>
          </rPr>
          <t>Flat Italian
======</t>
        </r>
      </text>
    </comment>
    <comment ref="F483" authorId="0" shapeId="0" xr:uid="{00000000-0006-0000-0000-000041000000}">
      <text>
        <r>
          <rPr>
            <sz val="11"/>
            <color theme="1"/>
            <rFont val="Calibri"/>
            <scheme val="minor"/>
          </rPr>
          <t>Daikon, Japanese
======</t>
        </r>
      </text>
    </comment>
    <comment ref="F484" authorId="0" shapeId="0" xr:uid="{00000000-0006-0000-0000-000042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485" authorId="0" shapeId="0" xr:uid="{00000000-0006-0000-0000-000043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493" authorId="0" shapeId="0" xr:uid="{00000000-0006-0000-0000-000044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494" authorId="0" shapeId="0" xr:uid="{00000000-0006-0000-0000-000045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512" authorId="0" shapeId="0" xr:uid="{00000000-0006-0000-0000-000046000000}">
      <text>
        <r>
          <rPr>
            <sz val="11"/>
            <color theme="1"/>
            <rFont val="Calibri"/>
            <scheme val="minor"/>
          </rPr>
          <t>chili
======</t>
        </r>
      </text>
    </comment>
    <comment ref="F513" authorId="0" shapeId="0" xr:uid="{00000000-0006-0000-0000-000047000000}">
      <text>
        <r>
          <rPr>
            <sz val="11"/>
            <color theme="1"/>
            <rFont val="Calibri"/>
            <scheme val="minor"/>
          </rPr>
          <t>Chili tomatillo
======</t>
        </r>
      </text>
    </comment>
    <comment ref="F523" authorId="0" shapeId="0" xr:uid="{00000000-0006-0000-0000-000048000000}">
      <text>
        <r>
          <rPr>
            <sz val="11"/>
            <color theme="1"/>
            <rFont val="Calibri"/>
            <scheme val="minor"/>
          </rPr>
          <t>Fungerling CO
======</t>
        </r>
      </text>
    </comment>
    <comment ref="F524" authorId="0" shapeId="0" xr:uid="{00000000-0006-0000-0000-000049000000}">
      <text>
        <r>
          <rPr>
            <sz val="11"/>
            <color theme="1"/>
            <rFont val="Calibri"/>
            <scheme val="minor"/>
          </rPr>
          <t>Marble Mix CO
======</t>
        </r>
      </text>
    </comment>
    <comment ref="A536" authorId="0" shapeId="0" xr:uid="{00000000-0006-0000-0000-0000E7000000}">
      <text>
        <r>
          <rPr>
            <sz val="11"/>
            <color theme="1"/>
            <rFont val="Calibri"/>
            <scheme val="minor"/>
          </rPr>
          <t>======
ID#AAABnX6AVTI
Glenn Paulino    (2025-07-15 04:32:51)
US DOD SHIPMENT</t>
        </r>
      </text>
    </comment>
    <comment ref="F536" authorId="0" shapeId="0" xr:uid="{00000000-0006-0000-0000-00004A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537" authorId="0" shapeId="0" xr:uid="{00000000-0006-0000-0000-00004B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538" authorId="0" shapeId="0" xr:uid="{00000000-0006-0000-0000-00004C000000}">
      <text>
        <r>
          <rPr>
            <sz val="11"/>
            <color theme="1"/>
            <rFont val="Calibri"/>
            <scheme val="minor"/>
          </rPr>
          <t>Yellow
======</t>
        </r>
      </text>
    </comment>
    <comment ref="F540" authorId="0" shapeId="0" xr:uid="{00000000-0006-0000-0000-00004D000000}">
      <text>
        <r>
          <rPr>
            <sz val="11"/>
            <color theme="1"/>
            <rFont val="Calibri"/>
            <scheme val="minor"/>
          </rPr>
          <t>Red Cabbage
======</t>
        </r>
      </text>
    </comment>
    <comment ref="F545" authorId="0" shapeId="0" xr:uid="{00000000-0006-0000-0000-00004E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546" authorId="0" shapeId="0" xr:uid="{00000000-0006-0000-0000-00004F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547" authorId="0" shapeId="0" xr:uid="{00000000-0006-0000-0000-000050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564" authorId="0" shapeId="0" xr:uid="{00000000-0006-0000-0000-000051000000}">
      <text>
        <r>
          <rPr>
            <sz val="11"/>
            <color theme="1"/>
            <rFont val="Calibri"/>
            <scheme val="minor"/>
          </rPr>
          <t>Red Cabbage
======</t>
        </r>
      </text>
    </comment>
    <comment ref="F565" authorId="0" shapeId="0" xr:uid="{00000000-0006-0000-0000-000052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566" authorId="0" shapeId="0" xr:uid="{00000000-0006-0000-0000-000053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569" authorId="0" shapeId="0" xr:uid="{00000000-0006-0000-0000-000054000000}">
      <text>
        <r>
          <rPr>
            <sz val="11"/>
            <color theme="1"/>
            <rFont val="Calibri"/>
            <scheme val="minor"/>
          </rPr>
          <t>Russet
======</t>
        </r>
      </text>
    </comment>
    <comment ref="F571" authorId="0" shapeId="0" xr:uid="{00000000-0006-0000-0000-000055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578" authorId="0" shapeId="0" xr:uid="{00000000-0006-0000-0000-000056000000}">
      <text>
        <r>
          <rPr>
            <sz val="11"/>
            <color theme="1"/>
            <rFont val="Calibri"/>
            <scheme val="minor"/>
          </rPr>
          <t>Italian
======</t>
        </r>
      </text>
    </comment>
    <comment ref="F585" authorId="0" shapeId="0" xr:uid="{00000000-0006-0000-0000-000057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589" authorId="0" shapeId="0" xr:uid="{00000000-0006-0000-0000-000058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590" authorId="0" shapeId="0" xr:uid="{00000000-0006-0000-0000-000059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596" authorId="0" shapeId="0" xr:uid="{00000000-0006-0000-0000-00005A000000}">
      <text>
        <r>
          <rPr>
            <sz val="11"/>
            <color theme="1"/>
            <rFont val="Calibri"/>
            <scheme val="minor"/>
          </rPr>
          <t>chili, jalapeno
======</t>
        </r>
      </text>
    </comment>
    <comment ref="F597" authorId="0" shapeId="0" xr:uid="{00000000-0006-0000-0000-00005B000000}">
      <text>
        <r>
          <rPr>
            <sz val="11"/>
            <color theme="1"/>
            <rFont val="Calibri"/>
            <scheme val="minor"/>
          </rPr>
          <t>chili, serrano
======</t>
        </r>
      </text>
    </comment>
    <comment ref="F617" authorId="0" shapeId="0" xr:uid="{00000000-0006-0000-0000-00005C000000}">
      <text>
        <r>
          <rPr>
            <sz val="11"/>
            <color theme="1"/>
            <rFont val="Calibri"/>
            <scheme val="minor"/>
          </rPr>
          <t>Daikon Japanese
======</t>
        </r>
      </text>
    </comment>
    <comment ref="F620" authorId="0" shapeId="0" xr:uid="{00000000-0006-0000-0000-00005D000000}">
      <text>
        <r>
          <rPr>
            <sz val="11"/>
            <color theme="1"/>
            <rFont val="Calibri"/>
            <scheme val="minor"/>
          </rPr>
          <t>garlic chives
======</t>
        </r>
      </text>
    </comment>
    <comment ref="F639" authorId="0" shapeId="0" xr:uid="{00000000-0006-0000-0000-00005E000000}">
      <text>
        <r>
          <rPr>
            <sz val="11"/>
            <color theme="1"/>
            <rFont val="Calibri"/>
            <scheme val="minor"/>
          </rPr>
          <t>heart
======</t>
        </r>
      </text>
    </comment>
    <comment ref="A659" authorId="0" shapeId="0" xr:uid="{00000000-0006-0000-0000-0000E6000000}">
      <text>
        <r>
          <rPr>
            <sz val="11"/>
            <color theme="1"/>
            <rFont val="Calibri"/>
            <scheme val="minor"/>
          </rPr>
          <t>======
ID#AAABoyhIEgw
Glenn Paulino    (2025-08-04 23:48:05)
GPII TAKES THE REINS</t>
        </r>
      </text>
    </comment>
    <comment ref="F674" authorId="0" shapeId="0" xr:uid="{00000000-0006-0000-0000-00005F000000}">
      <text>
        <r>
          <rPr>
            <sz val="11"/>
            <color theme="1"/>
            <rFont val="Calibri"/>
            <scheme val="minor"/>
          </rPr>
          <t>white
======</t>
        </r>
      </text>
    </comment>
    <comment ref="F683" authorId="0" shapeId="0" xr:uid="{00000000-0006-0000-0000-000060000000}">
      <text>
        <r>
          <rPr>
            <sz val="11"/>
            <color theme="1"/>
            <rFont val="Calibri"/>
            <scheme val="minor"/>
          </rPr>
          <t>white
======</t>
        </r>
      </text>
    </comment>
    <comment ref="F704" authorId="0" shapeId="0" xr:uid="{00000000-0006-0000-0000-000061000000}">
      <text>
        <r>
          <rPr>
            <sz val="11"/>
            <color theme="1"/>
            <rFont val="Calibri"/>
            <scheme val="minor"/>
          </rPr>
          <t>crown
======</t>
        </r>
      </text>
    </comment>
    <comment ref="F705" authorId="0" shapeId="0" xr:uid="{00000000-0006-0000-0000-000062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707" authorId="0" shapeId="0" xr:uid="{00000000-0006-0000-0000-000063000000}">
      <text>
        <r>
          <rPr>
            <sz val="11"/>
            <color theme="1"/>
            <rFont val="Calibri"/>
            <scheme val="minor"/>
          </rPr>
          <t>bean sprout
======</t>
        </r>
      </text>
    </comment>
    <comment ref="F715" authorId="0" shapeId="0" xr:uid="{00000000-0006-0000-0000-000064000000}">
      <text>
        <r>
          <rPr>
            <sz val="11"/>
            <color theme="1"/>
            <rFont val="Calibri"/>
            <scheme val="minor"/>
          </rPr>
          <t>string beans
======</t>
        </r>
      </text>
    </comment>
    <comment ref="F746" authorId="0" shapeId="0" xr:uid="{00000000-0006-0000-0000-000065000000}">
      <text>
        <r>
          <rPr>
            <sz val="11"/>
            <color theme="1"/>
            <rFont val="Calibri"/>
            <scheme val="minor"/>
          </rPr>
          <t>zucchini
======</t>
        </r>
      </text>
    </comment>
    <comment ref="F770" authorId="0" shapeId="0" xr:uid="{00000000-0006-0000-0000-000066000000}">
      <text>
        <r>
          <rPr>
            <sz val="11"/>
            <color theme="1"/>
            <rFont val="Calibri"/>
            <scheme val="minor"/>
          </rPr>
          <t>zucchini
======</t>
        </r>
      </text>
    </comment>
    <comment ref="F792" authorId="0" shapeId="0" xr:uid="{00000000-0006-0000-0000-000067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804" authorId="0" shapeId="0" xr:uid="{00000000-0006-0000-0000-000068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816" authorId="0" shapeId="0" xr:uid="{00000000-0006-0000-0000-000069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826" authorId="0" shapeId="0" xr:uid="{00000000-0006-0000-0000-00006A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827" authorId="0" shapeId="0" xr:uid="{00000000-0006-0000-0000-00006B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848" authorId="0" shapeId="0" xr:uid="{00000000-0006-0000-0000-00006C000000}">
      <text>
        <r>
          <rPr>
            <sz val="11"/>
            <color theme="1"/>
            <rFont val="Calibri"/>
            <scheme val="minor"/>
          </rPr>
          <t>bi-color
======</t>
        </r>
      </text>
    </comment>
    <comment ref="F867" authorId="0" shapeId="0" xr:uid="{00000000-0006-0000-0000-00006D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883" authorId="0" shapeId="0" xr:uid="{00000000-0006-0000-0000-00006E000000}">
      <text>
        <r>
          <rPr>
            <sz val="11"/>
            <color theme="1"/>
            <rFont val="Calibri"/>
            <scheme val="minor"/>
          </rPr>
          <t>white
======</t>
        </r>
      </text>
    </comment>
    <comment ref="F901" authorId="0" shapeId="0" xr:uid="{00000000-0006-0000-0000-00006F000000}">
      <text>
        <r>
          <rPr>
            <sz val="11"/>
            <color theme="1"/>
            <rFont val="Calibri"/>
            <scheme val="minor"/>
          </rPr>
          <t>Fuji
======</t>
        </r>
      </text>
    </comment>
    <comment ref="F903" authorId="0" shapeId="0" xr:uid="{00000000-0006-0000-0000-000070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904" authorId="0" shapeId="0" xr:uid="{00000000-0006-0000-0000-000071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919" authorId="0" shapeId="0" xr:uid="{00000000-0006-0000-0000-000072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948" authorId="0" shapeId="0" xr:uid="{00000000-0006-0000-0000-000073000000}">
      <text>
        <r>
          <rPr>
            <sz val="11"/>
            <color theme="1"/>
            <rFont val="Calibri"/>
            <scheme val="minor"/>
          </rPr>
          <t>Red Cabbage
======</t>
        </r>
      </text>
    </comment>
    <comment ref="F952" authorId="0" shapeId="0" xr:uid="{00000000-0006-0000-0000-000074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953" authorId="0" shapeId="0" xr:uid="{00000000-0006-0000-0000-000075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978" authorId="0" shapeId="0" xr:uid="{00000000-0006-0000-0000-000076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979" authorId="0" shapeId="0" xr:uid="{00000000-0006-0000-0000-000077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989" authorId="0" shapeId="0" xr:uid="{00000000-0006-0000-0000-000078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994" authorId="0" shapeId="0" xr:uid="{00000000-0006-0000-0000-000079000000}">
      <text>
        <r>
          <rPr>
            <sz val="11"/>
            <color theme="1"/>
            <rFont val="Calibri"/>
            <scheme val="minor"/>
          </rPr>
          <t>Red Cabbage
======</t>
        </r>
      </text>
    </comment>
    <comment ref="F1018" authorId="0" shapeId="0" xr:uid="{00000000-0006-0000-0000-00007A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1019" authorId="0" shapeId="0" xr:uid="{00000000-0006-0000-0000-00007B000000}">
      <text>
        <r>
          <rPr>
            <sz val="11"/>
            <color theme="1"/>
            <rFont val="Calibri"/>
            <scheme val="minor"/>
          </rPr>
          <t>Russet
======</t>
        </r>
      </text>
    </comment>
    <comment ref="F1031" authorId="0" shapeId="0" xr:uid="{00000000-0006-0000-0000-00007C000000}">
      <text>
        <r>
          <rPr>
            <sz val="11"/>
            <color theme="1"/>
            <rFont val="Calibri"/>
            <scheme val="minor"/>
          </rPr>
          <t>Red Cabbage
======</t>
        </r>
      </text>
    </comment>
    <comment ref="F1036" authorId="0" shapeId="0" xr:uid="{00000000-0006-0000-0000-00007D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1037" authorId="0" shapeId="0" xr:uid="{00000000-0006-0000-0000-00007E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1056" authorId="0" shapeId="0" xr:uid="{00000000-0006-0000-0000-00007F000000}">
      <text>
        <r>
          <rPr>
            <sz val="11"/>
            <color theme="1"/>
            <rFont val="Calibri"/>
            <scheme val="minor"/>
          </rPr>
          <t>Russet
======</t>
        </r>
      </text>
    </comment>
    <comment ref="F1061" authorId="0" shapeId="0" xr:uid="{00000000-0006-0000-0000-000080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1062" authorId="0" shapeId="0" xr:uid="{00000000-0006-0000-0000-000081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1069" authorId="0" shapeId="0" xr:uid="{00000000-0006-0000-0000-000082000000}">
      <text>
        <r>
          <rPr>
            <sz val="11"/>
            <color theme="1"/>
            <rFont val="Calibri"/>
            <scheme val="minor"/>
          </rPr>
          <t>Russet
======</t>
        </r>
      </text>
    </comment>
    <comment ref="F1083" authorId="0" shapeId="0" xr:uid="{00000000-0006-0000-0000-000083000000}">
      <text>
        <r>
          <rPr>
            <sz val="11"/>
            <color theme="1"/>
            <rFont val="Calibri"/>
            <scheme val="minor"/>
          </rPr>
          <t>Russet
======</t>
        </r>
      </text>
    </comment>
    <comment ref="F1089" authorId="0" shapeId="0" xr:uid="{00000000-0006-0000-0000-000084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1095" authorId="0" shapeId="0" xr:uid="{00000000-0006-0000-0000-000085000000}">
      <text>
        <r>
          <rPr>
            <sz val="11"/>
            <color theme="1"/>
            <rFont val="Calibri"/>
            <scheme val="minor"/>
          </rPr>
          <t>Red Cabbage
======</t>
        </r>
      </text>
    </comment>
    <comment ref="F1099" authorId="0" shapeId="0" xr:uid="{00000000-0006-0000-0000-000086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1100" authorId="0" shapeId="0" xr:uid="{00000000-0006-0000-0000-000087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1116" authorId="0" shapeId="0" xr:uid="{00000000-0006-0000-0000-000088000000}">
      <text>
        <r>
          <rPr>
            <sz val="11"/>
            <color theme="1"/>
            <rFont val="Calibri"/>
            <scheme val="minor"/>
          </rPr>
          <t>Russet
======</t>
        </r>
      </text>
    </comment>
    <comment ref="F1129" authorId="0" shapeId="0" xr:uid="{00000000-0006-0000-0000-000089000000}">
      <text>
        <r>
          <rPr>
            <sz val="11"/>
            <color theme="1"/>
            <rFont val="Calibri"/>
            <scheme val="minor"/>
          </rPr>
          <t>Red Cabbage
======</t>
        </r>
      </text>
    </comment>
    <comment ref="F1134" authorId="0" shapeId="0" xr:uid="{00000000-0006-0000-0000-00008A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1135" authorId="0" shapeId="0" xr:uid="{00000000-0006-0000-0000-00008B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1153" authorId="0" shapeId="0" xr:uid="{00000000-0006-0000-0000-00008C000000}">
      <text>
        <r>
          <rPr>
            <sz val="11"/>
            <color theme="1"/>
            <rFont val="Calibri"/>
            <scheme val="minor"/>
          </rPr>
          <t>Russet
======</t>
        </r>
      </text>
    </comment>
    <comment ref="F1154" authorId="0" shapeId="0" xr:uid="{00000000-0006-0000-0000-00008D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1166" authorId="0" shapeId="0" xr:uid="{00000000-0006-0000-0000-00008E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1167" authorId="0" shapeId="0" xr:uid="{00000000-0006-0000-0000-00008F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1169" authorId="0" shapeId="0" xr:uid="{00000000-0006-0000-0000-000090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1170" authorId="0" shapeId="0" xr:uid="{00000000-0006-0000-0000-000091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1207" authorId="0" shapeId="0" xr:uid="{00000000-0006-0000-0000-000092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1208" authorId="0" shapeId="0" xr:uid="{00000000-0006-0000-0000-000093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1224" authorId="0" shapeId="0" xr:uid="{00000000-0006-0000-0000-000094000000}">
      <text>
        <r>
          <rPr>
            <sz val="11"/>
            <color theme="1"/>
            <rFont val="Calibri"/>
            <scheme val="minor"/>
          </rPr>
          <t>baby bok choy
======</t>
        </r>
      </text>
    </comment>
    <comment ref="F1241" authorId="0" shapeId="0" xr:uid="{00000000-0006-0000-0000-000095000000}">
      <text>
        <r>
          <rPr>
            <sz val="11"/>
            <color theme="1"/>
            <rFont val="Calibri"/>
            <scheme val="minor"/>
          </rPr>
          <t>Jalapeno
======</t>
        </r>
      </text>
    </comment>
    <comment ref="F1251" authorId="0" shapeId="0" xr:uid="{00000000-0006-0000-0000-000096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1252" authorId="0" shapeId="0" xr:uid="{00000000-0006-0000-0000-000097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1254" authorId="0" shapeId="0" xr:uid="{00000000-0006-0000-0000-000098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1268" authorId="0" shapeId="0" xr:uid="{00000000-0006-0000-0000-000099000000}">
      <text>
        <r>
          <rPr>
            <sz val="11"/>
            <color theme="1"/>
            <rFont val="Calibri"/>
            <scheme val="minor"/>
          </rPr>
          <t>^__^
======</t>
        </r>
      </text>
    </comment>
    <comment ref="F1274" authorId="0" shapeId="0" xr:uid="{00000000-0006-0000-0000-00009A000000}">
      <text>
        <r>
          <rPr>
            <sz val="11"/>
            <color theme="1"/>
            <rFont val="Calibri"/>
            <scheme val="minor"/>
          </rPr>
          <t>kabocha
======</t>
        </r>
      </text>
    </comment>
    <comment ref="F1280" authorId="0" shapeId="0" xr:uid="{00000000-0006-0000-0000-00009B000000}">
      <text>
        <r>
          <rPr>
            <sz val="11"/>
            <color theme="1"/>
            <rFont val="Calibri"/>
            <scheme val="minor"/>
          </rPr>
          <t>tri color
======</t>
        </r>
      </text>
    </comment>
    <comment ref="F1281" authorId="0" shapeId="0" xr:uid="{00000000-0006-0000-0000-00009C000000}">
      <text>
        <r>
          <rPr>
            <sz val="11"/>
            <color theme="1"/>
            <rFont val="Calibri"/>
            <scheme val="minor"/>
          </rPr>
          <t>Jalapeno
======</t>
        </r>
      </text>
    </comment>
    <comment ref="F1292" authorId="0" shapeId="0" xr:uid="{00000000-0006-0000-0000-00009D000000}">
      <text>
        <r>
          <rPr>
            <sz val="11"/>
            <color theme="1"/>
            <rFont val="Calibri"/>
            <scheme val="minor"/>
          </rPr>
          <t>BLACK VELVET APRICOT
======</t>
        </r>
      </text>
    </comment>
    <comment ref="F1297" authorId="0" shapeId="0" xr:uid="{00000000-0006-0000-0000-00009E000000}">
      <text>
        <r>
          <rPr>
            <sz val="11"/>
            <color theme="1"/>
            <rFont val="Calibri"/>
            <scheme val="minor"/>
          </rPr>
          <t>RED SEEDLESS, GREEN SEEDLESS 
RED GLOBE,
======</t>
        </r>
      </text>
    </comment>
    <comment ref="F1298" authorId="0" shapeId="0" xr:uid="{00000000-0006-0000-0000-00009F000000}">
      <text>
        <r>
          <rPr>
            <sz val="11"/>
            <color theme="1"/>
            <rFont val="Calibri"/>
            <scheme val="minor"/>
          </rPr>
          <t>LETTUCE, ROMAINE
======</t>
        </r>
      </text>
    </comment>
    <comment ref="F1299" authorId="0" shapeId="0" xr:uid="{00000000-0006-0000-0000-0000A0000000}">
      <text>
        <r>
          <rPr>
            <sz val="11"/>
            <color theme="1"/>
            <rFont val="Calibri"/>
            <scheme val="minor"/>
          </rPr>
          <t>BELL PEPPER, RED
======</t>
        </r>
      </text>
    </comment>
    <comment ref="F1308" authorId="0" shapeId="0" xr:uid="{00000000-0006-0000-0000-0000A1000000}">
      <text>
        <r>
          <rPr>
            <sz val="11"/>
            <color theme="1"/>
            <rFont val="Calibri"/>
            <scheme val="minor"/>
          </rPr>
          <t>bean sprouts
======</t>
        </r>
      </text>
    </comment>
    <comment ref="F1317" authorId="0" shapeId="0" xr:uid="{00000000-0006-0000-0000-0000A2000000}">
      <text>
        <r>
          <rPr>
            <sz val="11"/>
            <color theme="1"/>
            <rFont val="Calibri"/>
            <scheme val="minor"/>
          </rPr>
          <t>TOMATOES CHERRY, TOMATO HEIRLOOM
======</t>
        </r>
      </text>
    </comment>
    <comment ref="F1318" authorId="0" shapeId="0" xr:uid="{00000000-0006-0000-0000-0000A3000000}">
      <text>
        <r>
          <rPr>
            <sz val="11"/>
            <color theme="1"/>
            <rFont val="Calibri"/>
            <scheme val="minor"/>
          </rPr>
          <t>bean sprouts
======</t>
        </r>
      </text>
    </comment>
    <comment ref="F1322" authorId="0" shapeId="0" xr:uid="{00000000-0006-0000-0000-0000A4000000}">
      <text>
        <r>
          <rPr>
            <sz val="11"/>
            <color theme="1"/>
            <rFont val="Calibri"/>
            <scheme val="minor"/>
          </rPr>
          <t>LETTUCE ROMAINE, LETTUCE ICEBREG
======</t>
        </r>
      </text>
    </comment>
    <comment ref="F1326" authorId="0" shapeId="0" xr:uid="{00000000-0006-0000-0000-0000A5000000}">
      <text>
        <r>
          <rPr>
            <sz val="11"/>
            <color theme="1"/>
            <rFont val="Calibri"/>
            <scheme val="minor"/>
          </rPr>
          <t>BELL PEPPER ,RED, BELL PEPPER, GOLD
======</t>
        </r>
      </text>
    </comment>
    <comment ref="F1329" authorId="0" shapeId="0" xr:uid="{00000000-0006-0000-0000-0000A6000000}">
      <text>
        <r>
          <rPr>
            <sz val="11"/>
            <color theme="1"/>
            <rFont val="Calibri"/>
            <scheme val="minor"/>
          </rPr>
          <t>TOMATOE CHERRY,  
======</t>
        </r>
      </text>
    </comment>
    <comment ref="F1333" authorId="0" shapeId="0" xr:uid="{00000000-0006-0000-0000-0000A7000000}">
      <text>
        <r>
          <rPr>
            <sz val="11"/>
            <color theme="1"/>
            <rFont val="Calibri"/>
            <scheme val="minor"/>
          </rPr>
          <t>RED GLOBE, RED SEEDLESS, GREEN SEEDLESS
======</t>
        </r>
      </text>
    </comment>
    <comment ref="F1339" authorId="0" shapeId="0" xr:uid="{00000000-0006-0000-0000-0000A8000000}">
      <text>
        <r>
          <rPr>
            <sz val="11"/>
            <color theme="1"/>
            <rFont val="Calibri"/>
            <scheme val="minor"/>
          </rPr>
          <t>ASPARAGUS (WHITE)
======</t>
        </r>
      </text>
    </comment>
    <comment ref="F1340" authorId="0" shapeId="0" xr:uid="{00000000-0006-0000-0000-0000A9000000}">
      <text>
        <r>
          <rPr>
            <sz val="11"/>
            <color theme="1"/>
            <rFont val="Calibri"/>
            <scheme val="minor"/>
          </rPr>
          <t>ROMANESCO BROCCOLI,
======</t>
        </r>
      </text>
    </comment>
    <comment ref="F1345" authorId="0" shapeId="0" xr:uid="{00000000-0006-0000-0000-0000AA000000}">
      <text>
        <r>
          <rPr>
            <sz val="11"/>
            <color theme="1"/>
            <rFont val="Calibri"/>
            <scheme val="minor"/>
          </rPr>
          <t>MIXED, (EDIBLE), PANSIES, ROSE BUDS, ORCHIDS
======</t>
        </r>
      </text>
    </comment>
    <comment ref="F1346" authorId="0" shapeId="0" xr:uid="{00000000-0006-0000-0000-0000AB000000}">
      <text>
        <r>
          <rPr>
            <sz val="11"/>
            <color theme="1"/>
            <rFont val="Calibri"/>
            <scheme val="minor"/>
          </rPr>
          <t>THYME
======</t>
        </r>
      </text>
    </comment>
    <comment ref="F1347" authorId="0" shapeId="0" xr:uid="{00000000-0006-0000-0000-0000AC000000}">
      <text>
        <r>
          <rPr>
            <sz val="11"/>
            <color theme="1"/>
            <rFont val="Calibri"/>
            <scheme val="minor"/>
          </rPr>
          <t>ROSEMARY
======</t>
        </r>
      </text>
    </comment>
    <comment ref="F1349" authorId="0" shapeId="0" xr:uid="{00000000-0006-0000-0000-0000AD000000}">
      <text>
        <r>
          <rPr>
            <sz val="11"/>
            <color theme="1"/>
            <rFont val="Calibri"/>
            <scheme val="minor"/>
          </rPr>
          <t>Anise
======</t>
        </r>
      </text>
    </comment>
    <comment ref="F1351" authorId="0" shapeId="0" xr:uid="{00000000-0006-0000-0000-0000AE000000}">
      <text>
        <r>
          <rPr>
            <sz val="11"/>
            <color theme="1"/>
            <rFont val="Calibri"/>
            <scheme val="minor"/>
          </rPr>
          <t>TOMATO HEIRLOOM,
======</t>
        </r>
      </text>
    </comment>
    <comment ref="F1355" authorId="0" shapeId="0" xr:uid="{00000000-0006-0000-0000-0000AF000000}">
      <text>
        <r>
          <rPr>
            <sz val="11"/>
            <color theme="1"/>
            <rFont val="Calibri"/>
            <scheme val="minor"/>
          </rPr>
          <t>RADISH (WATERMELON)
======</t>
        </r>
      </text>
    </comment>
    <comment ref="F1365" authorId="0" shapeId="0" xr:uid="{00000000-0006-0000-0000-0000B0000000}">
      <text>
        <r>
          <rPr>
            <sz val="11"/>
            <color theme="1"/>
            <rFont val="Calibri"/>
            <scheme val="minor"/>
          </rPr>
          <t>WATERMELON
======</t>
        </r>
      </text>
    </comment>
    <comment ref="F1366" authorId="0" shapeId="0" xr:uid="{00000000-0006-0000-0000-0000B1000000}">
      <text>
        <r>
          <rPr>
            <sz val="11"/>
            <color theme="1"/>
            <rFont val="Calibri"/>
            <scheme val="minor"/>
          </rPr>
          <t>ORCHIDS (DENDROBIUM), MIXED-EDIBLE, PANSIES, ROSE BUDS
======</t>
        </r>
      </text>
    </comment>
    <comment ref="F1368" authorId="0" shapeId="0" xr:uid="{00000000-0006-0000-0000-0000B2000000}">
      <text>
        <r>
          <rPr>
            <sz val="11"/>
            <color theme="1"/>
            <rFont val="Calibri"/>
            <scheme val="minor"/>
          </rPr>
          <t>THYME, 
======</t>
        </r>
      </text>
    </comment>
    <comment ref="F1373" authorId="0" shapeId="0" xr:uid="{00000000-0006-0000-0000-0000B3000000}">
      <text>
        <r>
          <rPr>
            <sz val="11"/>
            <color theme="1"/>
            <rFont val="Calibri"/>
            <scheme val="minor"/>
          </rPr>
          <t>Heirloom
======</t>
        </r>
      </text>
    </comment>
    <comment ref="F1377" authorId="0" shapeId="0" xr:uid="{00000000-0006-0000-0000-0000B4000000}">
      <text>
        <r>
          <rPr>
            <sz val="11"/>
            <color theme="1"/>
            <rFont val="Calibri"/>
            <scheme val="minor"/>
          </rPr>
          <t>blood
======</t>
        </r>
      </text>
    </comment>
    <comment ref="F1383" authorId="0" shapeId="0" xr:uid="{00000000-0006-0000-0000-0000B5000000}">
      <text>
        <r>
          <rPr>
            <sz val="11"/>
            <color theme="1"/>
            <rFont val="Calibri"/>
            <scheme val="minor"/>
          </rPr>
          <t>NAPA, RED, GREEN
======</t>
        </r>
      </text>
    </comment>
    <comment ref="F1393" authorId="0" shapeId="0" xr:uid="{00000000-0006-0000-0000-0000B6000000}">
      <text>
        <r>
          <rPr>
            <sz val="11"/>
            <color theme="1"/>
            <rFont val="Calibri"/>
            <scheme val="minor"/>
          </rPr>
          <t>bell pepper
======</t>
        </r>
      </text>
    </comment>
    <comment ref="F1394" authorId="0" shapeId="0" xr:uid="{00000000-0006-0000-0000-0000B7000000}">
      <text>
        <r>
          <rPr>
            <sz val="11"/>
            <color theme="1"/>
            <rFont val="Calibri"/>
            <scheme val="minor"/>
          </rPr>
          <t>bell pepper red
======</t>
        </r>
      </text>
    </comment>
    <comment ref="F1405" authorId="0" shapeId="0" xr:uid="{00000000-0006-0000-0000-0000B8000000}">
      <text>
        <r>
          <rPr>
            <sz val="11"/>
            <color theme="1"/>
            <rFont val="Calibri"/>
            <scheme val="minor"/>
          </rPr>
          <t>bell pepper
======</t>
        </r>
      </text>
    </comment>
    <comment ref="F1406" authorId="0" shapeId="0" xr:uid="{00000000-0006-0000-0000-0000B9000000}">
      <text>
        <r>
          <rPr>
            <sz val="11"/>
            <color theme="1"/>
            <rFont val="Calibri"/>
            <scheme val="minor"/>
          </rPr>
          <t>bell pepper house ye
======</t>
        </r>
      </text>
    </comment>
    <comment ref="F1407" authorId="0" shapeId="0" xr:uid="{00000000-0006-0000-0000-0000BA000000}">
      <text>
        <r>
          <rPr>
            <sz val="11"/>
            <color theme="1"/>
            <rFont val="Calibri"/>
            <scheme val="minor"/>
          </rPr>
          <t>bell pepper orange
======</t>
        </r>
      </text>
    </comment>
    <comment ref="F1408" authorId="0" shapeId="0" xr:uid="{00000000-0006-0000-0000-0000BB000000}">
      <text>
        <r>
          <rPr>
            <sz val="11"/>
            <color theme="1"/>
            <rFont val="Calibri"/>
            <scheme val="minor"/>
          </rPr>
          <t>bell pepper house red
======</t>
        </r>
      </text>
    </comment>
    <comment ref="F1414" authorId="0" shapeId="0" xr:uid="{00000000-0006-0000-0000-0000BC000000}">
      <text>
        <r>
          <rPr>
            <sz val="11"/>
            <color theme="1"/>
            <rFont val="Calibri"/>
            <scheme val="minor"/>
          </rPr>
          <t>Japanese
======</t>
        </r>
      </text>
    </comment>
    <comment ref="F1420" authorId="0" shapeId="0" xr:uid="{00000000-0006-0000-0000-0000BD000000}">
      <text>
        <r>
          <rPr>
            <sz val="11"/>
            <color theme="1"/>
            <rFont val="Calibri"/>
            <scheme val="minor"/>
          </rPr>
          <t>NAPA, RED
======</t>
        </r>
      </text>
    </comment>
    <comment ref="F1430" authorId="0" shapeId="0" xr:uid="{00000000-0006-0000-0000-0000BE000000}">
      <text>
        <r>
          <rPr>
            <sz val="11"/>
            <color theme="1"/>
            <rFont val="Calibri"/>
            <scheme val="minor"/>
          </rPr>
          <t>GREEN, RED bell peppers
======</t>
        </r>
      </text>
    </comment>
    <comment ref="F1442" authorId="0" shapeId="0" xr:uid="{00000000-0006-0000-0000-0000BF000000}">
      <text>
        <r>
          <rPr>
            <sz val="11"/>
            <color theme="1"/>
            <rFont val="Calibri"/>
            <scheme val="minor"/>
          </rPr>
          <t>NAPA, GREEN
======</t>
        </r>
      </text>
    </comment>
    <comment ref="F1461" authorId="0" shapeId="0" xr:uid="{00000000-0006-0000-0000-0000C0000000}">
      <text>
        <r>
          <rPr>
            <sz val="11"/>
            <color theme="1"/>
            <rFont val="Calibri"/>
            <scheme val="minor"/>
          </rPr>
          <t>JALAPENO, SERRANO, 
======</t>
        </r>
      </text>
    </comment>
    <comment ref="F1462" authorId="0" shapeId="0" xr:uid="{00000000-0006-0000-0000-0000C1000000}">
      <text>
        <r>
          <rPr>
            <sz val="11"/>
            <color theme="1"/>
            <rFont val="Calibri"/>
            <scheme val="minor"/>
          </rPr>
          <t>poblano
======</t>
        </r>
      </text>
    </comment>
    <comment ref="F1472" authorId="0" shapeId="0" xr:uid="{00000000-0006-0000-0000-0000C2000000}">
      <text>
        <r>
          <rPr>
            <sz val="11"/>
            <color theme="1"/>
            <rFont val="Calibri"/>
            <scheme val="minor"/>
          </rPr>
          <t>KABOCHA, SPAGHETTI, ZUCCHINI
======</t>
        </r>
      </text>
    </comment>
    <comment ref="F1473" authorId="0" shapeId="0" xr:uid="{00000000-0006-0000-0000-0000C3000000}">
      <text>
        <r>
          <rPr>
            <sz val="11"/>
            <color theme="1"/>
            <rFont val="Calibri"/>
            <scheme val="minor"/>
          </rPr>
          <t>CHERRY, GRAPE, ROMA,
======</t>
        </r>
      </text>
    </comment>
    <comment ref="F1477" authorId="0" shapeId="0" xr:uid="{00000000-0006-0000-0000-0000C4000000}">
      <text>
        <r>
          <rPr>
            <sz val="11"/>
            <color theme="1"/>
            <rFont val="Calibri"/>
            <scheme val="minor"/>
          </rPr>
          <t>NAVEL
======</t>
        </r>
      </text>
    </comment>
    <comment ref="F1481" authorId="0" shapeId="0" xr:uid="{00000000-0006-0000-0000-0000C5000000}">
      <text>
        <r>
          <rPr>
            <sz val="11"/>
            <color theme="1"/>
            <rFont val="Calibri"/>
            <scheme val="minor"/>
          </rPr>
          <t>hot pepper
======</t>
        </r>
      </text>
    </comment>
    <comment ref="F1501" authorId="0" shapeId="0" xr:uid="{00000000-0006-0000-0000-0000C6000000}">
      <text>
        <r>
          <rPr>
            <sz val="11"/>
            <color theme="1"/>
            <rFont val="Calibri"/>
            <scheme val="minor"/>
          </rPr>
          <t>russet
======</t>
        </r>
      </text>
    </comment>
    <comment ref="F1511" authorId="0" shapeId="0" xr:uid="{00000000-0006-0000-0000-0000C7000000}">
      <text>
        <r>
          <rPr>
            <sz val="11"/>
            <color theme="1"/>
            <rFont val="Calibri"/>
            <scheme val="minor"/>
          </rPr>
          <t>crown
======</t>
        </r>
      </text>
    </comment>
    <comment ref="F1514" authorId="0" shapeId="0" xr:uid="{00000000-0006-0000-0000-0000C8000000}">
      <text>
        <r>
          <rPr>
            <sz val="11"/>
            <color theme="1"/>
            <rFont val="Calibri"/>
            <scheme val="minor"/>
          </rPr>
          <t>crown
======</t>
        </r>
      </text>
    </comment>
    <comment ref="F1515" authorId="0" shapeId="0" xr:uid="{00000000-0006-0000-0000-0000C9000000}">
      <text>
        <r>
          <rPr>
            <sz val="11"/>
            <color theme="1"/>
            <rFont val="Calibri"/>
            <scheme val="minor"/>
          </rPr>
          <t>Iceberg
======</t>
        </r>
      </text>
    </comment>
    <comment ref="F1516" authorId="0" shapeId="0" xr:uid="{00000000-0006-0000-0000-0000CA000000}">
      <text>
        <r>
          <rPr>
            <sz val="11"/>
            <color theme="1"/>
            <rFont val="Calibri"/>
            <scheme val="minor"/>
          </rPr>
          <t>Iceberg
======</t>
        </r>
      </text>
    </comment>
    <comment ref="F1517" authorId="0" shapeId="0" xr:uid="{00000000-0006-0000-0000-0000CB000000}">
      <text>
        <r>
          <rPr>
            <sz val="11"/>
            <color theme="1"/>
            <rFont val="Calibri"/>
            <scheme val="minor"/>
          </rPr>
          <t>Romaine
======</t>
        </r>
      </text>
    </comment>
    <comment ref="F1518" authorId="0" shapeId="0" xr:uid="{00000000-0006-0000-0000-0000CC000000}">
      <text>
        <r>
          <rPr>
            <sz val="11"/>
            <color theme="1"/>
            <rFont val="Calibri"/>
            <scheme val="minor"/>
          </rPr>
          <t>Romaine
======</t>
        </r>
      </text>
    </comment>
    <comment ref="F1527" authorId="0" shapeId="0" xr:uid="{00000000-0006-0000-0000-0000CD000000}">
      <text>
        <r>
          <rPr>
            <sz val="11"/>
            <color theme="1"/>
            <rFont val="Calibri"/>
            <scheme val="minor"/>
          </rPr>
          <t>bell pepper red
======</t>
        </r>
      </text>
    </comment>
    <comment ref="F1528" authorId="0" shapeId="0" xr:uid="{00000000-0006-0000-0000-0000CE000000}">
      <text>
        <r>
          <rPr>
            <sz val="11"/>
            <color theme="1"/>
            <rFont val="Calibri"/>
            <scheme val="minor"/>
          </rPr>
          <t>bell pepper red
======</t>
        </r>
      </text>
    </comment>
    <comment ref="F1529" authorId="0" shapeId="0" xr:uid="{00000000-0006-0000-0000-0000CF000000}">
      <text>
        <r>
          <rPr>
            <sz val="11"/>
            <color theme="1"/>
            <rFont val="Calibri"/>
            <scheme val="minor"/>
          </rPr>
          <t>Curly
======</t>
        </r>
      </text>
    </comment>
    <comment ref="F1531" authorId="0" shapeId="0" xr:uid="{00000000-0006-0000-0000-0000D0000000}">
      <text>
        <r>
          <rPr>
            <sz val="11"/>
            <color theme="1"/>
            <rFont val="Calibri"/>
            <scheme val="minor"/>
          </rPr>
          <t>1 dozen bkn
======</t>
        </r>
      </text>
    </comment>
    <comment ref="F1537" authorId="0" shapeId="0" xr:uid="{00000000-0006-0000-0000-0000D1000000}">
      <text>
        <r>
          <rPr>
            <sz val="11"/>
            <color theme="1"/>
            <rFont val="Calibri"/>
            <scheme val="minor"/>
          </rPr>
          <t>Green Seedless
======</t>
        </r>
      </text>
    </comment>
    <comment ref="F1538" authorId="0" shapeId="0" xr:uid="{00000000-0006-0000-0000-0000D2000000}">
      <text>
        <r>
          <rPr>
            <sz val="11"/>
            <color theme="1"/>
            <rFont val="Calibri"/>
            <scheme val="minor"/>
          </rPr>
          <t>Red Seedless
======</t>
        </r>
      </text>
    </comment>
    <comment ref="F1539" authorId="0" shapeId="0" xr:uid="{00000000-0006-0000-0000-0000D3000000}">
      <text>
        <r>
          <rPr>
            <sz val="11"/>
            <color theme="1"/>
            <rFont val="Calibri"/>
            <scheme val="minor"/>
          </rPr>
          <t>Green Seedless
======</t>
        </r>
      </text>
    </comment>
    <comment ref="F1540" authorId="0" shapeId="0" xr:uid="{00000000-0006-0000-0000-0000D4000000}">
      <text>
        <r>
          <rPr>
            <sz val="11"/>
            <color theme="1"/>
            <rFont val="Calibri"/>
            <scheme val="minor"/>
          </rPr>
          <t>fuji
======</t>
        </r>
      </text>
    </comment>
    <comment ref="F1541" authorId="0" shapeId="0" xr:uid="{00000000-0006-0000-0000-0000D5000000}">
      <text>
        <r>
          <rPr>
            <sz val="11"/>
            <color theme="1"/>
            <rFont val="Calibri"/>
            <scheme val="minor"/>
          </rPr>
          <t>red
======</t>
        </r>
      </text>
    </comment>
    <comment ref="F1542" authorId="0" shapeId="0" xr:uid="{00000000-0006-0000-0000-0000D6000000}">
      <text>
        <r>
          <rPr>
            <sz val="11"/>
            <color theme="1"/>
            <rFont val="Calibri"/>
            <scheme val="minor"/>
          </rPr>
          <t>green
======</t>
        </r>
      </text>
    </comment>
    <comment ref="F1544" authorId="0" shapeId="0" xr:uid="{00000000-0006-0000-0000-0000D7000000}">
      <text>
        <r>
          <rPr>
            <sz val="11"/>
            <color theme="1"/>
            <rFont val="Calibri"/>
            <scheme val="minor"/>
          </rPr>
          <t>hot pepper
======</t>
        </r>
      </text>
    </comment>
    <comment ref="F1595" authorId="0" shapeId="0" xr:uid="{00000000-0006-0000-0000-0000D8000000}">
      <text>
        <r>
          <rPr>
            <sz val="11"/>
            <color theme="1"/>
            <rFont val="Calibri"/>
            <scheme val="minor"/>
          </rPr>
          <t>GOLDEN
======</t>
        </r>
      </text>
    </comment>
    <comment ref="F1605" authorId="0" shapeId="0" xr:uid="{00000000-0006-0000-0000-0000D9000000}">
      <text>
        <r>
          <rPr>
            <sz val="11"/>
            <color theme="1"/>
            <rFont val="Calibri"/>
            <scheme val="minor"/>
          </rPr>
          <t>GOLD, HOUSE YE!, GREEN, ORANGE, RED,
======</t>
        </r>
      </text>
    </comment>
    <comment ref="F1609" authorId="0" shapeId="0" xr:uid="{00000000-0006-0000-0000-0000DA000000}">
      <text>
        <r>
          <rPr>
            <sz val="11"/>
            <color theme="1"/>
            <rFont val="Calibri"/>
            <scheme val="minor"/>
          </rPr>
          <t>JALAPENO, SERRANO
======</t>
        </r>
      </text>
    </comment>
    <comment ref="F1610" authorId="0" shapeId="0" xr:uid="{00000000-0006-0000-0000-0000DB000000}">
      <text>
        <r>
          <rPr>
            <sz val="11"/>
            <color theme="1"/>
            <rFont val="Calibri"/>
            <scheme val="minor"/>
          </rPr>
          <t>Poblano
======</t>
        </r>
      </text>
    </comment>
    <comment ref="F1619" authorId="0" shapeId="0" xr:uid="{00000000-0006-0000-0000-0000DC000000}">
      <text>
        <r>
          <rPr>
            <sz val="11"/>
            <color theme="1"/>
            <rFont val="Calibri"/>
            <scheme val="minor"/>
          </rPr>
          <t>BUTTERNUT, KABOCHA,
======</t>
        </r>
      </text>
    </comment>
    <comment ref="F1620" authorId="0" shapeId="0" xr:uid="{00000000-0006-0000-0000-0000DD000000}">
      <text>
        <r>
          <rPr>
            <sz val="11"/>
            <color theme="1"/>
            <rFont val="Calibri"/>
            <scheme val="minor"/>
          </rPr>
          <t>ZUCCHINI
======</t>
        </r>
      </text>
    </comment>
    <comment ref="A1625" authorId="0" shapeId="0" xr:uid="{00000000-0006-0000-0000-0000E5000000}">
      <text>
        <r>
          <rPr>
            <sz val="11"/>
            <color theme="1"/>
            <rFont val="Calibri"/>
            <scheme val="minor"/>
          </rPr>
          <t>======
ID#AAABpQP6pg0
Glenn Paulino    (2025-08-12 23:43:48)
DOD SHIPMENT</t>
        </r>
      </text>
    </comment>
    <comment ref="A1631" authorId="0" shapeId="0" xr:uid="{00000000-0006-0000-0000-0000E4000000}">
      <text>
        <r>
          <rPr>
            <sz val="11"/>
            <color theme="1"/>
            <rFont val="Calibri"/>
            <scheme val="minor"/>
          </rPr>
          <t>======
ID#AAABpQP6pg4
Glenn Paulino    (2025-08-12 23:44:03)
DOD SHIPMENT</t>
        </r>
      </text>
    </comment>
    <comment ref="A1640" authorId="0" shapeId="0" xr:uid="{00000000-0006-0000-0000-0000DE000000}">
      <text>
        <r>
          <rPr>
            <sz val="11"/>
            <color theme="1"/>
            <rFont val="Calibri"/>
            <scheme val="minor"/>
          </rPr>
          <t>======
ID#AAABpQP6phQ
Glenn Paulino    (2025-08-12 23:46:02)
DOD SHIPMENT</t>
        </r>
      </text>
    </comment>
    <comment ref="A1650" authorId="0" shapeId="0" xr:uid="{00000000-0006-0000-0000-0000DF000000}">
      <text>
        <r>
          <rPr>
            <sz val="11"/>
            <color theme="1"/>
            <rFont val="Calibri"/>
            <scheme val="minor"/>
          </rPr>
          <t>======
ID#AAABpQP6phM
Glenn Paulino    (2025-08-12 23:45:49)
DOD SHIPMENT</t>
        </r>
      </text>
    </comment>
    <comment ref="A1656" authorId="0" shapeId="0" xr:uid="{00000000-0006-0000-0000-0000E0000000}">
      <text>
        <r>
          <rPr>
            <sz val="11"/>
            <color theme="1"/>
            <rFont val="Calibri"/>
            <scheme val="minor"/>
          </rPr>
          <t>======
ID#AAABpQP6phI
Glenn Paulino    (2025-08-12 23:45:33)
DOD SHIPMENT</t>
        </r>
      </text>
    </comment>
    <comment ref="A1672" authorId="0" shapeId="0" xr:uid="{00000000-0006-0000-0000-0000E1000000}">
      <text>
        <r>
          <rPr>
            <sz val="11"/>
            <color theme="1"/>
            <rFont val="Calibri"/>
            <scheme val="minor"/>
          </rPr>
          <t>======
ID#AAABpQP6phE
Glenn Paulino    (2025-08-12 23:45:20)
DOD SHIPMENT</t>
        </r>
      </text>
    </comment>
    <comment ref="A1678" authorId="0" shapeId="0" xr:uid="{00000000-0006-0000-0000-0000E2000000}">
      <text>
        <r>
          <rPr>
            <sz val="11"/>
            <color theme="1"/>
            <rFont val="Calibri"/>
            <scheme val="minor"/>
          </rPr>
          <t>======
ID#AAABpQP6phA
Glenn Paulino    (2025-08-12 23:45:09)
DOD SHIPMENT</t>
        </r>
      </text>
    </comment>
    <comment ref="A1688" authorId="0" shapeId="0" xr:uid="{00000000-0006-0000-0000-0000E3000000}">
      <text>
        <r>
          <rPr>
            <sz val="11"/>
            <color theme="1"/>
            <rFont val="Calibri"/>
            <scheme val="minor"/>
          </rPr>
          <t>======
ID#AAABpQP6pg8
Glenn Paulino    (2025-08-12 23:44:49)
DOD SHIPMENT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jzS6AybXTNt375OWp2yCbuPzqCA=="/>
    </ext>
  </extLst>
</comments>
</file>

<file path=xl/sharedStrings.xml><?xml version="1.0" encoding="utf-8"?>
<sst xmlns="http://schemas.openxmlformats.org/spreadsheetml/2006/main" count="12125" uniqueCount="2111">
  <si>
    <t>Imported Produce by Origin, Type, Weight (lb), and Value ($)</t>
  </si>
  <si>
    <t>Month of November 2024</t>
  </si>
  <si>
    <t>NS= Not Specified</t>
  </si>
  <si>
    <t>OG=Organic</t>
  </si>
  <si>
    <t>EB=Earthbound</t>
  </si>
  <si>
    <t>TOTAL:</t>
  </si>
  <si>
    <t>Document No.</t>
  </si>
  <si>
    <t>Origin </t>
  </si>
  <si>
    <t>Produce Type
(Specify)</t>
  </si>
  <si>
    <t>HS Code</t>
  </si>
  <si>
    <t>Total Weight Imported (lbs)</t>
  </si>
  <si>
    <t>Value ($)</t>
  </si>
  <si>
    <t>Comments</t>
  </si>
  <si>
    <t>016LAX95121633</t>
  </si>
  <si>
    <t>US</t>
  </si>
  <si>
    <t>Asparagus, fresh or chilled</t>
  </si>
  <si>
    <t>0709.20</t>
  </si>
  <si>
    <t>Beans, fresh or chilled</t>
  </si>
  <si>
    <t>0708.20</t>
  </si>
  <si>
    <t>Broccoli, fresh or chilled</t>
  </si>
  <si>
    <t>0704.90</t>
  </si>
  <si>
    <t>Brussels sprouts, fresh or chilled</t>
  </si>
  <si>
    <t>0704.20</t>
  </si>
  <si>
    <t>Cucumbers, fresh or chilled</t>
  </si>
  <si>
    <t>0707.00</t>
  </si>
  <si>
    <t>UY</t>
  </si>
  <si>
    <t>Cranberries, fresh</t>
  </si>
  <si>
    <t>0810.40</t>
  </si>
  <si>
    <t>US , CA</t>
  </si>
  <si>
    <t>Radishes, fresh or chilled</t>
  </si>
  <si>
    <t>0706.90</t>
  </si>
  <si>
    <t>Thyme, fresh or chilled</t>
  </si>
  <si>
    <t>0709.99</t>
  </si>
  <si>
    <t>Chives, fresh or chilled</t>
  </si>
  <si>
    <t>0703.90</t>
  </si>
  <si>
    <t>Tarragon,fresh or chilled</t>
  </si>
  <si>
    <t>Mushrooms, fresh or chilled</t>
  </si>
  <si>
    <t>0709.51</t>
  </si>
  <si>
    <t>Tomatoes, fresh or chilled</t>
  </si>
  <si>
    <t>0702.00</t>
  </si>
  <si>
    <t>Carrots, fresh or chilled</t>
  </si>
  <si>
    <t>0706.10</t>
  </si>
  <si>
    <t>Rosemary, fresh or chilled</t>
  </si>
  <si>
    <t>Oranges, fresh or chilled</t>
  </si>
  <si>
    <t>0805.10</t>
  </si>
  <si>
    <t>016LAX95121655</t>
  </si>
  <si>
    <t>MX</t>
  </si>
  <si>
    <t>Cilantro, fresh or chilled</t>
  </si>
  <si>
    <t>Mangoes, fresh</t>
  </si>
  <si>
    <t>0804.50</t>
  </si>
  <si>
    <t>Spinach, fresh or chilled</t>
  </si>
  <si>
    <t>0709.70</t>
  </si>
  <si>
    <t>Turnips, fresh</t>
  </si>
  <si>
    <t>Tarragon, fresh or chilled</t>
  </si>
  <si>
    <t>Radishes , fresh or chilled</t>
  </si>
  <si>
    <t>016SFO27930862</t>
  </si>
  <si>
    <t>Celery, fresh or chilled</t>
  </si>
  <si>
    <t>0709.40</t>
  </si>
  <si>
    <t>Leeks and alliaceous vegetables, fresh or chilled</t>
  </si>
  <si>
    <t>Lettuce, fresh or chilled</t>
  </si>
  <si>
    <t>0705.11</t>
  </si>
  <si>
    <t>Pepper, fresh or chilled</t>
  </si>
  <si>
    <t>0709.60</t>
  </si>
  <si>
    <t>Squash, fresh or chilled</t>
  </si>
  <si>
    <t>0709.93</t>
  </si>
  <si>
    <t>Strawberries, fresh</t>
  </si>
  <si>
    <t>0810.10</t>
  </si>
  <si>
    <t>Avocados, fresh or chilled</t>
  </si>
  <si>
    <t>0804.40</t>
  </si>
  <si>
    <t>Blackberries, fresh</t>
  </si>
  <si>
    <t>0810.20</t>
  </si>
  <si>
    <t>Grapes, fresh</t>
  </si>
  <si>
    <t>0806.10</t>
  </si>
  <si>
    <t>Papayas, fresh</t>
  </si>
  <si>
    <t>0807.20</t>
  </si>
  <si>
    <t>Raspberries, fresh</t>
  </si>
  <si>
    <t>Onion and shallots, fresh or chilled</t>
  </si>
  <si>
    <t>0703.10</t>
  </si>
  <si>
    <t>016SFO27930884</t>
  </si>
  <si>
    <t>Cauliflower, fresh or chilled</t>
  </si>
  <si>
    <t>0704.10</t>
  </si>
  <si>
    <t>Peppers, fresh or chilled</t>
  </si>
  <si>
    <t>Cabbage, fresh or chilled</t>
  </si>
  <si>
    <t>Sweet Corn, fresh or chilled</t>
  </si>
  <si>
    <t>Eggplants, fresh or chilled</t>
  </si>
  <si>
    <t>0709.30</t>
  </si>
  <si>
    <t xml:space="preserve">Blackberries, fresh  </t>
  </si>
  <si>
    <t>Kale, fresh or chilled</t>
  </si>
  <si>
    <t>CA</t>
  </si>
  <si>
    <t>US , HI</t>
  </si>
  <si>
    <t>Blueberries, fresh</t>
  </si>
  <si>
    <t>023OAK91551552</t>
  </si>
  <si>
    <t xml:space="preserve"> </t>
  </si>
  <si>
    <t>Endive, fresh or chilled</t>
  </si>
  <si>
    <t>0705.29</t>
  </si>
  <si>
    <t>Anise, fresh or chilled</t>
  </si>
  <si>
    <t>Garlic, fresh or chilled</t>
  </si>
  <si>
    <t>0703.20</t>
  </si>
  <si>
    <t>Chicory, fresh or chilled</t>
  </si>
  <si>
    <t>0705.19</t>
  </si>
  <si>
    <t>Basil, fresh or chilled</t>
  </si>
  <si>
    <t>Mint, fresh or chilled</t>
  </si>
  <si>
    <t>Parsley, fresh or chilled</t>
  </si>
  <si>
    <t>Thyme, fresh or chilled, fresh or chilled</t>
  </si>
  <si>
    <t>Dill, fresh or chilled</t>
  </si>
  <si>
    <t>Oregano, fresh or chilled</t>
  </si>
  <si>
    <t>Sage, fresh or chilled</t>
  </si>
  <si>
    <t>Flowers, fresh or chilled</t>
  </si>
  <si>
    <t>0603.13</t>
  </si>
  <si>
    <t>Collard Green, fresh or chilled</t>
  </si>
  <si>
    <t>180AKL69830880</t>
  </si>
  <si>
    <t>NZ</t>
  </si>
  <si>
    <t>180AKL69830913</t>
  </si>
  <si>
    <t>180AKL69830924</t>
  </si>
  <si>
    <t>180AKL69830950</t>
  </si>
  <si>
    <t>180ICN17875631</t>
  </si>
  <si>
    <t>KR</t>
  </si>
  <si>
    <t>Perilla Leaves, fresh or chilled</t>
  </si>
  <si>
    <t>Watercress, fresh or chilled</t>
  </si>
  <si>
    <t>Persimmons, fresh</t>
  </si>
  <si>
    <t>0810.70</t>
  </si>
  <si>
    <t>Apples, fresh</t>
  </si>
  <si>
    <t>0808.10</t>
  </si>
  <si>
    <t>180ICN17875642</t>
  </si>
  <si>
    <t>Beets, fresh or chilled</t>
  </si>
  <si>
    <t>APLUSG0285709</t>
  </si>
  <si>
    <t>Muskmelons, fresh or chilled</t>
  </si>
  <si>
    <t>0807.19</t>
  </si>
  <si>
    <t>Sweet Potatoes, fresh</t>
  </si>
  <si>
    <t>0714.20</t>
  </si>
  <si>
    <t>Mandarins, fresh or chilled</t>
  </si>
  <si>
    <t>0805.21</t>
  </si>
  <si>
    <t>Seaweeds fit for human consumption</t>
  </si>
  <si>
    <t>1212.21</t>
  </si>
  <si>
    <t>MATS1653072-000</t>
  </si>
  <si>
    <t>Yams, fresh</t>
  </si>
  <si>
    <t>0714.30</t>
  </si>
  <si>
    <t>Lemons, fresh or chilled</t>
  </si>
  <si>
    <t>0805.50</t>
  </si>
  <si>
    <t>Kiwi fruit, fresh</t>
  </si>
  <si>
    <t>0810.50</t>
  </si>
  <si>
    <t>Potatoes, fresh or chilled</t>
  </si>
  <si>
    <t>0701.00</t>
  </si>
  <si>
    <t>Grapefruit, fresh</t>
  </si>
  <si>
    <t>0805.40</t>
  </si>
  <si>
    <t>0701.90</t>
  </si>
  <si>
    <t>Tomatillo, fresh or chilled</t>
  </si>
  <si>
    <t>Limes, fresh</t>
  </si>
  <si>
    <t>Bok Choy, fresh or chilled</t>
  </si>
  <si>
    <t>MATS1834925-000</t>
  </si>
  <si>
    <t>MATS2570292-000</t>
  </si>
  <si>
    <t>Bananas, fresh</t>
  </si>
  <si>
    <t>0803.00</t>
  </si>
  <si>
    <t>MATS2999277-000</t>
  </si>
  <si>
    <t>Pears, fresh</t>
  </si>
  <si>
    <t>0808.30</t>
  </si>
  <si>
    <t>MATS3499430-000</t>
  </si>
  <si>
    <t>Cantaloupes, fresh</t>
  </si>
  <si>
    <t>Honeydew, fresh</t>
  </si>
  <si>
    <t>Pineapples, fresh</t>
  </si>
  <si>
    <t>0804.30</t>
  </si>
  <si>
    <t>Watermelons, fresh</t>
  </si>
  <si>
    <t>0807.11</t>
  </si>
  <si>
    <t>Ginger, not crushed or ground</t>
  </si>
  <si>
    <t>0910.11</t>
  </si>
  <si>
    <t>Dates, fresh</t>
  </si>
  <si>
    <t>0804.10</t>
  </si>
  <si>
    <t>Gooseberries, fresh</t>
  </si>
  <si>
    <t>0810.30</t>
  </si>
  <si>
    <t>Peas, fresh or chilled</t>
  </si>
  <si>
    <t>0708.10</t>
  </si>
  <si>
    <t>Plums, fresh</t>
  </si>
  <si>
    <t>0809.40</t>
  </si>
  <si>
    <t>Pomegranates, fresh</t>
  </si>
  <si>
    <t>0810.90</t>
  </si>
  <si>
    <t>Tamarinds, fresh</t>
  </si>
  <si>
    <t>Tangerines, fresh</t>
  </si>
  <si>
    <t>Lotus Root, fresh or chilled</t>
  </si>
  <si>
    <t>0714.90</t>
  </si>
  <si>
    <t>Coconuts, whether or not shelled</t>
  </si>
  <si>
    <t>0801.19</t>
  </si>
  <si>
    <t>MATS5179174-000</t>
  </si>
  <si>
    <t>MATS5256282-000</t>
  </si>
  <si>
    <t>Fennels, fresh or chilled</t>
  </si>
  <si>
    <t>Taro, fresh or chilled</t>
  </si>
  <si>
    <t>0714.40</t>
  </si>
  <si>
    <t>MATS6235608-000</t>
  </si>
  <si>
    <t>MATS7830760-000</t>
  </si>
  <si>
    <t>MATS7995909-000</t>
  </si>
  <si>
    <t>Chayote, fresh or chilled</t>
  </si>
  <si>
    <t>Jicama, fresh or chilled</t>
  </si>
  <si>
    <t>Peanuts, not roasted or otherwise cooked</t>
  </si>
  <si>
    <t>1202.00</t>
  </si>
  <si>
    <t>Sher Li Hon (mustard)</t>
  </si>
  <si>
    <t>Chrysanthemum, fresh or chilled</t>
  </si>
  <si>
    <t>0603.14</t>
  </si>
  <si>
    <t>Yucca, fresh or chilled</t>
  </si>
  <si>
    <t>MATS9005781-000</t>
  </si>
  <si>
    <t>US , WA</t>
  </si>
  <si>
    <t>MV112032024RG</t>
  </si>
  <si>
    <t>MP</t>
  </si>
  <si>
    <t>Other bananas, fresh</t>
  </si>
  <si>
    <t>0803.90</t>
  </si>
  <si>
    <t>Guavas, fresh</t>
  </si>
  <si>
    <t>Okra, fresh or chilled</t>
  </si>
  <si>
    <t>131-32844291</t>
  </si>
  <si>
    <t>TW</t>
  </si>
  <si>
    <t>Bamboo Shoot . White</t>
  </si>
  <si>
    <t>2005.91</t>
  </si>
  <si>
    <t>440ROP10024014</t>
  </si>
  <si>
    <t>Calamansi, fresh</t>
  </si>
  <si>
    <t>0805.90</t>
  </si>
  <si>
    <t>USG0286643</t>
  </si>
  <si>
    <t>CN</t>
  </si>
  <si>
    <t>MEL4M0009700</t>
  </si>
  <si>
    <t>AU</t>
  </si>
  <si>
    <t>MATS7300135-000</t>
  </si>
  <si>
    <t>Plantains, fresh</t>
  </si>
  <si>
    <t>Turnips, Fresh</t>
  </si>
  <si>
    <t>USG0286626</t>
  </si>
  <si>
    <t>USG0285422</t>
  </si>
  <si>
    <t>USG0286988</t>
  </si>
  <si>
    <t>JP</t>
  </si>
  <si>
    <t>USG0287023</t>
  </si>
  <si>
    <t>USG0285425</t>
  </si>
  <si>
    <t>USG0287795</t>
  </si>
  <si>
    <t>Burdock root, fresh or chilled</t>
  </si>
  <si>
    <t>Pumpkins, fresh or chilled</t>
  </si>
  <si>
    <t>Melons, fresh</t>
  </si>
  <si>
    <t>131NRT49348751</t>
  </si>
  <si>
    <t>131NRT49387100</t>
  </si>
  <si>
    <t>806ICN11758854</t>
  </si>
  <si>
    <t>806ICN11760453</t>
  </si>
  <si>
    <t>USG0285709</t>
  </si>
  <si>
    <t>USG0286675</t>
  </si>
  <si>
    <t>USG0287127</t>
  </si>
  <si>
    <t>USG0285051</t>
  </si>
  <si>
    <t>KR00304200</t>
  </si>
  <si>
    <t>180ICN29291382</t>
  </si>
  <si>
    <t>Jujubes, fresh</t>
  </si>
  <si>
    <t>180ICN29419283</t>
  </si>
  <si>
    <t>180ICN29363714</t>
  </si>
  <si>
    <t>MATS3812633-000</t>
  </si>
  <si>
    <t>MATS8501398-000</t>
  </si>
  <si>
    <t>CL</t>
  </si>
  <si>
    <t>CR</t>
  </si>
  <si>
    <t>Peaches, fresh</t>
  </si>
  <si>
    <t>0809.30</t>
  </si>
  <si>
    <t>Apricots, fresh</t>
  </si>
  <si>
    <t>0809.10</t>
  </si>
  <si>
    <t>016LAX63513660</t>
  </si>
  <si>
    <t>US , IL</t>
  </si>
  <si>
    <t>MATS5760714-000</t>
  </si>
  <si>
    <t>MATS4672627-000</t>
  </si>
  <si>
    <t>MATS2876911-000</t>
  </si>
  <si>
    <t>MATS7905311-000</t>
  </si>
  <si>
    <t>MATS4008576000</t>
  </si>
  <si>
    <t>MATS4428768-000</t>
  </si>
  <si>
    <t>MATS9114955-000</t>
  </si>
  <si>
    <t>MATS2730626-000</t>
  </si>
  <si>
    <t>MATS1137483-000</t>
  </si>
  <si>
    <t>MATS5879381-000</t>
  </si>
  <si>
    <t>MATS2779859-000</t>
  </si>
  <si>
    <t>MATS1987154-000</t>
  </si>
  <si>
    <t>MATS3340399-000</t>
  </si>
  <si>
    <t>MATS1970336-000</t>
  </si>
  <si>
    <t>MATS7257931-000</t>
  </si>
  <si>
    <t>Pine nuts, in shell</t>
  </si>
  <si>
    <t>0802.91</t>
  </si>
  <si>
    <t>MATS4739266-000</t>
  </si>
  <si>
    <t>MATS1863238-000</t>
  </si>
  <si>
    <t>CHN</t>
  </si>
  <si>
    <t>PER</t>
  </si>
  <si>
    <t>CRI</t>
  </si>
  <si>
    <t>MATS5386906-000</t>
  </si>
  <si>
    <t>MATS9186594-000</t>
  </si>
  <si>
    <t>US,CAL</t>
  </si>
  <si>
    <t>US, CAL</t>
  </si>
  <si>
    <t>US, HI</t>
  </si>
  <si>
    <t>CAN</t>
  </si>
  <si>
    <t>Thymes, fresh or chilled</t>
  </si>
  <si>
    <t>Figs, fresh</t>
  </si>
  <si>
    <t>0804.20</t>
  </si>
  <si>
    <t>MATS1112235-000</t>
  </si>
  <si>
    <t>MATS4304026-000</t>
  </si>
  <si>
    <t>NL</t>
  </si>
  <si>
    <t>MATS7588133-000</t>
  </si>
  <si>
    <t>MATS9843108-000</t>
  </si>
  <si>
    <t>MATS5213471-000</t>
  </si>
  <si>
    <t>MATS9565794-000</t>
  </si>
  <si>
    <t>BR</t>
  </si>
  <si>
    <t>ES</t>
  </si>
  <si>
    <t>440SPN10039314</t>
  </si>
  <si>
    <t>MP , Saipan</t>
  </si>
  <si>
    <t>Cooking Banana, fresh</t>
  </si>
  <si>
    <t>0803.10</t>
  </si>
  <si>
    <t>Soursop, fresh</t>
  </si>
  <si>
    <t>440SPN10039350</t>
  </si>
  <si>
    <t>Fiji Banana, fresh</t>
  </si>
  <si>
    <t>Eating Banana, fresh</t>
  </si>
  <si>
    <t>Manila Banana, fresh</t>
  </si>
  <si>
    <t>Jack Fruit</t>
  </si>
  <si>
    <t>081090</t>
  </si>
  <si>
    <t>440SPN10039392</t>
  </si>
  <si>
    <t>440SPN10039393</t>
  </si>
  <si>
    <t>440TIQ10039315</t>
  </si>
  <si>
    <t>MP , Tinian</t>
  </si>
  <si>
    <t>440TIQ10039404</t>
  </si>
  <si>
    <t>MATS6280192-000</t>
  </si>
  <si>
    <t>SMA01224868</t>
  </si>
  <si>
    <t>016YAP15147414</t>
  </si>
  <si>
    <t>FM , Yap</t>
  </si>
  <si>
    <t>Betelnut, whole</t>
  </si>
  <si>
    <t>0802.80</t>
  </si>
  <si>
    <t>Betel leaf, neither crushed nor ground</t>
  </si>
  <si>
    <t>1404.90</t>
  </si>
  <si>
    <t>016YAP15147462</t>
  </si>
  <si>
    <t>016YAP15147506</t>
  </si>
  <si>
    <t>016YAP17105222</t>
  </si>
  <si>
    <t>016YAP17105270</t>
  </si>
  <si>
    <t>0904.11</t>
  </si>
  <si>
    <t>016YAP17105336</t>
  </si>
  <si>
    <t>016YAP17105351</t>
  </si>
  <si>
    <t>016YAP17105443</t>
  </si>
  <si>
    <t>016YAP17105465</t>
  </si>
  <si>
    <t>016YAP17105480</t>
  </si>
  <si>
    <t>016YAP17105491</t>
  </si>
  <si>
    <t>016YAP17105546</t>
  </si>
  <si>
    <t>016YAP17105594</t>
  </si>
  <si>
    <t>016YAP17105605</t>
  </si>
  <si>
    <t>016YAP24911434</t>
  </si>
  <si>
    <t>016YAP24911445</t>
  </si>
  <si>
    <t>016YAP24911456</t>
  </si>
  <si>
    <t>016YAP24911530</t>
  </si>
  <si>
    <t>016YAP24911563</t>
  </si>
  <si>
    <t>016YAP24911600</t>
  </si>
  <si>
    <t>016YAP24911611</t>
  </si>
  <si>
    <t>016YAP24911666</t>
  </si>
  <si>
    <t>016YAP24911714</t>
  </si>
  <si>
    <t>016YAP95307531</t>
  </si>
  <si>
    <t>016YAP95307542</t>
  </si>
  <si>
    <t>016YAP95307656</t>
  </si>
  <si>
    <t>MATS6281458-000</t>
  </si>
  <si>
    <t>EC</t>
  </si>
  <si>
    <t>CH</t>
  </si>
  <si>
    <t>MATS9358914-000</t>
  </si>
  <si>
    <t>MATS9244262-000</t>
  </si>
  <si>
    <t>MATS4804737-000</t>
  </si>
  <si>
    <t>MATS2880177-000</t>
  </si>
  <si>
    <t>MATS1158576-000</t>
  </si>
  <si>
    <t>NS= Not Specified               OG=Organic                   EB=Earthbound</t>
  </si>
  <si>
    <t>These are ready for Glenn to log in to PC trade:</t>
  </si>
  <si>
    <t>Saipan</t>
  </si>
  <si>
    <t>Hot Pepper</t>
  </si>
  <si>
    <t>Cooking Banana</t>
  </si>
  <si>
    <t>080310</t>
  </si>
  <si>
    <t>Sour Sap</t>
  </si>
  <si>
    <t>Eggplant</t>
  </si>
  <si>
    <t>Okra</t>
  </si>
  <si>
    <t>Fiji Banana</t>
  </si>
  <si>
    <t>Eating Banana</t>
  </si>
  <si>
    <t>Manila Banana</t>
  </si>
  <si>
    <t>NS</t>
  </si>
  <si>
    <t xml:space="preserve">Weight and price was combined, not able to distinquish itemized amounts for each. </t>
  </si>
  <si>
    <t xml:space="preserve">Invoice: 1257 lbs Certificate: 1300 lbs, used invoice weight. </t>
  </si>
  <si>
    <t>Calamansi</t>
  </si>
  <si>
    <t>Tinian</t>
  </si>
  <si>
    <t>Cucumber</t>
  </si>
  <si>
    <t>String Beans</t>
  </si>
  <si>
    <t>Bitter Melon</t>
  </si>
  <si>
    <t>200899</t>
  </si>
  <si>
    <t>San Leandro, US , CA</t>
  </si>
  <si>
    <t>Potato Russet</t>
  </si>
  <si>
    <t>Tomato</t>
  </si>
  <si>
    <t>Green Onion Iceless</t>
  </si>
  <si>
    <t>Onion Yellow Super C</t>
  </si>
  <si>
    <t>Onion Yellow Vexar</t>
  </si>
  <si>
    <t>Onion Red Medium</t>
  </si>
  <si>
    <t>Broccoli Crown</t>
  </si>
  <si>
    <t>Cauliflower</t>
  </si>
  <si>
    <t>Cauliflower Cello</t>
  </si>
  <si>
    <t>Lettuce Iceberg</t>
  </si>
  <si>
    <t>Lettuce Romaine</t>
  </si>
  <si>
    <t>070519</t>
  </si>
  <si>
    <t>Carrot Jumbo</t>
  </si>
  <si>
    <t>Peas Snow</t>
  </si>
  <si>
    <t>070810</t>
  </si>
  <si>
    <t>Celery</t>
  </si>
  <si>
    <t>070940</t>
  </si>
  <si>
    <t>Mushroom Cello</t>
  </si>
  <si>
    <t>070959</t>
  </si>
  <si>
    <t>Bell Pepper Red</t>
  </si>
  <si>
    <t>Parsley Curly</t>
  </si>
  <si>
    <t>Squash Zucchini</t>
  </si>
  <si>
    <t>Parsley 1 dozen bkn</t>
  </si>
  <si>
    <t>Orange Navel Choice</t>
  </si>
  <si>
    <t>Lemon</t>
  </si>
  <si>
    <t>Weight is not specified, description indicates 140/160/200ct StandardRC 9cs</t>
  </si>
  <si>
    <t>Weight is not specified, description indicates 140/160/200ct StandardRC 20cs</t>
  </si>
  <si>
    <t>Lemon Choice</t>
  </si>
  <si>
    <t>Grape Green Seedless</t>
  </si>
  <si>
    <t>Grape Red Seedless</t>
  </si>
  <si>
    <t>Apple Fuji Pouch Bag</t>
  </si>
  <si>
    <t>080810</t>
  </si>
  <si>
    <t>Apple Red Pouch Bag</t>
  </si>
  <si>
    <t>Apple Gala Pouch Bag</t>
  </si>
  <si>
    <t>Peanut Bulk Raw Tenn</t>
  </si>
  <si>
    <t>120241</t>
  </si>
  <si>
    <t xml:space="preserve">Invoice and BOL omit weight details, providing cost only. </t>
  </si>
  <si>
    <t>Yap</t>
  </si>
  <si>
    <t>Betelnut</t>
  </si>
  <si>
    <t>080280</t>
  </si>
  <si>
    <t>140490</t>
  </si>
  <si>
    <t>016YAP15147436</t>
  </si>
  <si>
    <t>cost not itemized</t>
  </si>
  <si>
    <t>016YAP15147440</t>
  </si>
  <si>
    <t>weight not itemized</t>
  </si>
  <si>
    <t xml:space="preserve">Betel leaf, neither crushed nor ground </t>
  </si>
  <si>
    <t>016YAP15147451</t>
  </si>
  <si>
    <t>personal Invoice and BOL omit itemized weight details, and costs</t>
  </si>
  <si>
    <t>personal</t>
  </si>
  <si>
    <t>016YAP15147473</t>
  </si>
  <si>
    <t xml:space="preserve">Betelnut </t>
  </si>
  <si>
    <t xml:space="preserve">BOL and invoice not itemized. </t>
  </si>
  <si>
    <t>016YAP15147543</t>
  </si>
  <si>
    <t>016YAP17105233</t>
  </si>
  <si>
    <t>016YAP17105266</t>
  </si>
  <si>
    <t xml:space="preserve">BOL shows 342 lbs for items combined, INV shows 310 lbs, itemized wts and costs per item not specified.  </t>
  </si>
  <si>
    <t xml:space="preserve">BOL shows total wt: 449lbs betelnut on inv-500 lbs Certificate for betelnut 480 lbs, used invoice weight. </t>
  </si>
  <si>
    <t xml:space="preserve">Used cerificate weight for Betel leaf, neither crushed nor ground </t>
  </si>
  <si>
    <t>Mustard Seeds</t>
  </si>
  <si>
    <t>091099</t>
  </si>
  <si>
    <t>Invoice says 100 lbs for betelnut and 30 lbs for leaves but BOL says 818 lbs total, followed Invoice</t>
  </si>
  <si>
    <t>016YAP17105340</t>
  </si>
  <si>
    <t xml:space="preserve">Invoice doesnt specify itemized breakdown and costs, BOL and certificate have different poundage. </t>
  </si>
  <si>
    <t>016YAP17105362</t>
  </si>
  <si>
    <t>016YAP17105395</t>
  </si>
  <si>
    <t>016YAP17105454</t>
  </si>
  <si>
    <t>BOL and invoice not itemized</t>
  </si>
  <si>
    <t>016YAP17105476</t>
  </si>
  <si>
    <t>016YAP17105550</t>
  </si>
  <si>
    <t>016YAP17105583</t>
  </si>
  <si>
    <t>016YAP17105642</t>
  </si>
  <si>
    <t>016YAP24911482</t>
  </si>
  <si>
    <t>Costs and weights for both is combined, not itemized</t>
  </si>
  <si>
    <t>016YAP24911552</t>
  </si>
  <si>
    <t>BOL and invoice not itemized.</t>
  </si>
  <si>
    <t>016YAP24911574</t>
  </si>
  <si>
    <t>Incoice lacks item weights; cost shown for both items. Certificate lists weight for Betelnut 080280 only.</t>
  </si>
  <si>
    <t>016YAP24911585</t>
  </si>
  <si>
    <t>Invoice omits weights for both items.</t>
  </si>
  <si>
    <t>016YAP24911596</t>
  </si>
  <si>
    <t>016YAP24911622</t>
  </si>
  <si>
    <t>016YAP24911703</t>
  </si>
  <si>
    <t>016YAP24911725</t>
  </si>
  <si>
    <t>016YAP24911740</t>
  </si>
  <si>
    <t>016YAP24911784</t>
  </si>
  <si>
    <t>016YAP95307564</t>
  </si>
  <si>
    <t>BOL and invoice doesnt have weight itemized.</t>
  </si>
  <si>
    <t>016YAP95307590</t>
  </si>
  <si>
    <t>016YAP95307645</t>
  </si>
  <si>
    <t>BOL and Invoice omits itemized costs and weights .</t>
  </si>
  <si>
    <t>Still working on these on my desk</t>
  </si>
  <si>
    <t>SMA01226407</t>
  </si>
  <si>
    <t>Calamansi 080529</t>
  </si>
  <si>
    <t xml:space="preserve">12 units removed, reducing weight by 495 lbs; item and cost details unspecified. </t>
  </si>
  <si>
    <t>Lemon 0805.50</t>
  </si>
  <si>
    <t>SMA01226430</t>
  </si>
  <si>
    <t>Sweet Potato 071420</t>
  </si>
  <si>
    <t>SMA01226433</t>
  </si>
  <si>
    <t>SMA01226435</t>
  </si>
  <si>
    <t>invoice doesnt include Lemon 0805.50 that shows on agriculture/personal</t>
  </si>
  <si>
    <t>SMA01226436</t>
  </si>
  <si>
    <t xml:space="preserve">Inv lists Sweet Potato 071420; BOL and customs list Sweet Potato 071420 and Taro 0714.40. Price remains unchanged. </t>
  </si>
  <si>
    <t>Taro 0714.40</t>
  </si>
  <si>
    <t>SMA01226440</t>
  </si>
  <si>
    <t>SMA01226442</t>
  </si>
  <si>
    <t>SMA01226444</t>
  </si>
  <si>
    <t>SMA01226447</t>
  </si>
  <si>
    <t>Yams 0714.30</t>
  </si>
  <si>
    <t>SMA01226448</t>
  </si>
  <si>
    <t>Papaya 0807.20</t>
  </si>
  <si>
    <t>Papaya 0807.20 is indicated on inv but no weight and cost/personal</t>
  </si>
  <si>
    <t>SMA01226458</t>
  </si>
  <si>
    <t xml:space="preserve">4 units removed, reducing weight by 182 lbs; item and cost details unspecified. </t>
  </si>
  <si>
    <t>SMA01226459</t>
  </si>
  <si>
    <t>Hot Pepper 0709.60</t>
  </si>
  <si>
    <t>no weight indicated/personal</t>
  </si>
  <si>
    <t>SMA01226463</t>
  </si>
  <si>
    <t>BOL and invoice list Calamansi 080529 (50 lbs); customs lists Lemon 0805.50 (55 lbs)</t>
  </si>
  <si>
    <t>SMA01226464</t>
  </si>
  <si>
    <t>440ROP10024003</t>
  </si>
  <si>
    <t>Okra 0709.93</t>
  </si>
  <si>
    <t>440ROP10024008</t>
  </si>
  <si>
    <t>Ginger 0910.10</t>
  </si>
  <si>
    <t>440ROP10024013</t>
  </si>
  <si>
    <t>Saging Banana 0803.90</t>
  </si>
  <si>
    <t>440ROP10024018</t>
  </si>
  <si>
    <t xml:space="preserve">costs were not itemized </t>
  </si>
  <si>
    <t>440ROP10024019</t>
  </si>
  <si>
    <t>Saba Banana 0803.90</t>
  </si>
  <si>
    <t>Banana 0803.90 Heart</t>
  </si>
  <si>
    <t>440ROP10024020</t>
  </si>
  <si>
    <t>440ROP10024021</t>
  </si>
  <si>
    <t>Young Coconut 0801.11</t>
  </si>
  <si>
    <t>Pumpkin 0709.93</t>
  </si>
  <si>
    <t>440ROP10024022</t>
  </si>
  <si>
    <t>440ROP10024023</t>
  </si>
  <si>
    <t>Dragon Fruit</t>
  </si>
  <si>
    <t>Guava 0807.11</t>
  </si>
  <si>
    <t>Pineapple</t>
  </si>
  <si>
    <t>440ROP10024024</t>
  </si>
  <si>
    <t xml:space="preserve">Banana 0803.90  </t>
  </si>
  <si>
    <t>Taro 0714.40 Stem</t>
  </si>
  <si>
    <t>440ROP10024031</t>
  </si>
  <si>
    <t>Tumeric 091030</t>
  </si>
  <si>
    <t>440ROP10024032</t>
  </si>
  <si>
    <t>440ROP10024033</t>
  </si>
  <si>
    <t>440ROP10024034</t>
  </si>
  <si>
    <t>440ROP10024035</t>
  </si>
  <si>
    <t>440ROP10024038</t>
  </si>
  <si>
    <t>Tomato 0702.00</t>
  </si>
  <si>
    <t>HBC11082024AB</t>
  </si>
  <si>
    <t>Taro</t>
  </si>
  <si>
    <t>HBC11222024BE</t>
  </si>
  <si>
    <t>Banana Heart</t>
  </si>
  <si>
    <t>Still more to go</t>
  </si>
  <si>
    <t>Imported Fish by Type, Origin, Weight (lb), and Value ($)</t>
  </si>
  <si>
    <t>Month of ______________________</t>
  </si>
  <si>
    <t>Fish Type
(Specify)</t>
  </si>
  <si>
    <t>Note:  Fish includes Parrot fish, Grouper, Snapper, Milkfish, etc.</t>
  </si>
  <si>
    <t>Row Labels</t>
  </si>
  <si>
    <t>Grand Total</t>
  </si>
  <si>
    <t>Sum of Total Weight Imported (lbs)</t>
  </si>
  <si>
    <t>Sum of Value ($)</t>
  </si>
  <si>
    <t>Total Weight Imported (kg)</t>
  </si>
  <si>
    <t>Sum of Total Weight Imported (kg)</t>
  </si>
  <si>
    <t>Point of Origin</t>
  </si>
  <si>
    <t>Australia</t>
  </si>
  <si>
    <t>Brazil</t>
  </si>
  <si>
    <t>Canada</t>
  </si>
  <si>
    <t>China</t>
  </si>
  <si>
    <t>CNMI</t>
  </si>
  <si>
    <t>South Korea</t>
  </si>
  <si>
    <t>Peru</t>
  </si>
  <si>
    <t>Taiwan</t>
  </si>
  <si>
    <t>USA</t>
  </si>
  <si>
    <t>Uraguay</t>
  </si>
  <si>
    <t>New Zealand</t>
  </si>
  <si>
    <t>Neatherlands</t>
  </si>
  <si>
    <t>Country Name</t>
  </si>
  <si>
    <t>Chile</t>
  </si>
  <si>
    <t>Japan</t>
  </si>
  <si>
    <t>Mexico</t>
  </si>
  <si>
    <t>Sovereignty</t>
  </si>
  <si>
    <t>TLD</t>
  </si>
  <si>
    <t>A-2</t>
  </si>
  <si>
    <t>A-3</t>
  </si>
  <si>
    <t>Num.</t>
  </si>
  <si>
    <t> Afghanistan</t>
  </si>
  <si>
    <t>UN member</t>
  </si>
  <si>
    <t>AF</t>
  </si>
  <si>
    <t>AFG</t>
  </si>
  <si>
    <t>ISO 3166-2:AF</t>
  </si>
  <si>
    <t>.af</t>
  </si>
  <si>
    <t> Åland Islands</t>
  </si>
  <si>
    <t>Finland</t>
  </si>
  <si>
    <t>AX</t>
  </si>
  <si>
    <t>ALA</t>
  </si>
  <si>
    <t>ISO 3166-2:AX</t>
  </si>
  <si>
    <t>.ax</t>
  </si>
  <si>
    <t> Albania</t>
  </si>
  <si>
    <t>the Republic of Albania</t>
  </si>
  <si>
    <t>AL</t>
  </si>
  <si>
    <t>ALB</t>
  </si>
  <si>
    <t>ISO 3166-2:AL</t>
  </si>
  <si>
    <t>.al</t>
  </si>
  <si>
    <t> Algeria</t>
  </si>
  <si>
    <t>the People's Democratic Republic of Algeria</t>
  </si>
  <si>
    <t>DZ</t>
  </si>
  <si>
    <t>DZA</t>
  </si>
  <si>
    <t>ISO 3166-2:DZ</t>
  </si>
  <si>
    <t>.dz</t>
  </si>
  <si>
    <t> American Samoa</t>
  </si>
  <si>
    <t>United States</t>
  </si>
  <si>
    <t>AS</t>
  </si>
  <si>
    <t>ASM</t>
  </si>
  <si>
    <t>ISO 3166-2:AS</t>
  </si>
  <si>
    <t>.as</t>
  </si>
  <si>
    <t> Andorra</t>
  </si>
  <si>
    <t>the Principality of Andorra</t>
  </si>
  <si>
    <t>AD</t>
  </si>
  <si>
    <t>AND</t>
  </si>
  <si>
    <t>ISO 3166-2:AD</t>
  </si>
  <si>
    <t>.ad</t>
  </si>
  <si>
    <t> Angola</t>
  </si>
  <si>
    <t>the Republic of Angola</t>
  </si>
  <si>
    <t>AO</t>
  </si>
  <si>
    <t>AGO</t>
  </si>
  <si>
    <t>ISO 3166-2:AO</t>
  </si>
  <si>
    <t>.ao</t>
  </si>
  <si>
    <t> Anguilla</t>
  </si>
  <si>
    <t>United Kingdom</t>
  </si>
  <si>
    <t>AI</t>
  </si>
  <si>
    <t>AIA</t>
  </si>
  <si>
    <t>ISO 3166-2:AI</t>
  </si>
  <si>
    <t>.ai</t>
  </si>
  <si>
    <t>Antarctic Treaty</t>
  </si>
  <si>
    <t>AQ</t>
  </si>
  <si>
    <t>ATA</t>
  </si>
  <si>
    <t>ISO 3166-2:AQ</t>
  </si>
  <si>
    <t>.aq</t>
  </si>
  <si>
    <t> Antigua and Barbuda</t>
  </si>
  <si>
    <t>AG</t>
  </si>
  <si>
    <t>ATG</t>
  </si>
  <si>
    <t>ISO 3166-2:AG</t>
  </si>
  <si>
    <t>.ag</t>
  </si>
  <si>
    <t> Argentina</t>
  </si>
  <si>
    <t>the Argentine Republic</t>
  </si>
  <si>
    <t>AR</t>
  </si>
  <si>
    <t>ARG</t>
  </si>
  <si>
    <t>ISO 3166-2:AR</t>
  </si>
  <si>
    <t>.ar</t>
  </si>
  <si>
    <t> Armenia</t>
  </si>
  <si>
    <t>the Republic of Armenia</t>
  </si>
  <si>
    <t>AM</t>
  </si>
  <si>
    <t>ARM</t>
  </si>
  <si>
    <t>ISO 3166-2:AM</t>
  </si>
  <si>
    <t>.am</t>
  </si>
  <si>
    <t> Aruba</t>
  </si>
  <si>
    <t>Netherlands</t>
  </si>
  <si>
    <t>AW</t>
  </si>
  <si>
    <t>ABW</t>
  </si>
  <si>
    <t>ISO 3166-2:AW</t>
  </si>
  <si>
    <t>.aw</t>
  </si>
  <si>
    <t>AUS</t>
  </si>
  <si>
    <t>ISO 3166-2:AU</t>
  </si>
  <si>
    <t>.au</t>
  </si>
  <si>
    <t> Austria</t>
  </si>
  <si>
    <t>the Republic of Austria</t>
  </si>
  <si>
    <t>AT</t>
  </si>
  <si>
    <t>AUT</t>
  </si>
  <si>
    <t>ISO 3166-2:AT</t>
  </si>
  <si>
    <t>.at</t>
  </si>
  <si>
    <t> Azerbaijan</t>
  </si>
  <si>
    <t>the Republic of Azerbaijan</t>
  </si>
  <si>
    <t>AZ</t>
  </si>
  <si>
    <t>AZE</t>
  </si>
  <si>
    <t>ISO 3166-2:AZ</t>
  </si>
  <si>
    <t>.az</t>
  </si>
  <si>
    <t> Bahamas (the)</t>
  </si>
  <si>
    <t>the Commonwealth of The Bahamas</t>
  </si>
  <si>
    <t>BS</t>
  </si>
  <si>
    <t>BHS</t>
  </si>
  <si>
    <t>ISO 3166-2:BS</t>
  </si>
  <si>
    <t>.bs</t>
  </si>
  <si>
    <t> Bahrain</t>
  </si>
  <si>
    <t>the Kingdom of Bahrain</t>
  </si>
  <si>
    <t>BH</t>
  </si>
  <si>
    <t>BHR</t>
  </si>
  <si>
    <t>ISO 3166-2:BH</t>
  </si>
  <si>
    <t>.bh</t>
  </si>
  <si>
    <t> Bangladesh</t>
  </si>
  <si>
    <t>the People's Republic of Bangladesh</t>
  </si>
  <si>
    <t>BD</t>
  </si>
  <si>
    <t>BGD</t>
  </si>
  <si>
    <t>ISO 3166-2:BD</t>
  </si>
  <si>
    <t>.bd</t>
  </si>
  <si>
    <t> Barbados</t>
  </si>
  <si>
    <t>BB</t>
  </si>
  <si>
    <t>BRB</t>
  </si>
  <si>
    <t>ISO 3166-2:BB</t>
  </si>
  <si>
    <t>.bb</t>
  </si>
  <si>
    <t> Belarus</t>
  </si>
  <si>
    <t>the Republic of Belarus</t>
  </si>
  <si>
    <t>BY</t>
  </si>
  <si>
    <t>BLR</t>
  </si>
  <si>
    <t>ISO 3166-2:BY</t>
  </si>
  <si>
    <t>.by</t>
  </si>
  <si>
    <t> Belgium</t>
  </si>
  <si>
    <t>the Kingdom of Belgium</t>
  </si>
  <si>
    <t>BE</t>
  </si>
  <si>
    <t>BEL</t>
  </si>
  <si>
    <t>ISO 3166-2:BE</t>
  </si>
  <si>
    <t>.be</t>
  </si>
  <si>
    <t> Belize</t>
  </si>
  <si>
    <t>BZ</t>
  </si>
  <si>
    <t>BLZ</t>
  </si>
  <si>
    <t>ISO 3166-2:BZ</t>
  </si>
  <si>
    <t>.bz</t>
  </si>
  <si>
    <t> Benin</t>
  </si>
  <si>
    <t>the Republic of Benin</t>
  </si>
  <si>
    <t>BJ</t>
  </si>
  <si>
    <t>BEN</t>
  </si>
  <si>
    <t>ISO 3166-2:BJ</t>
  </si>
  <si>
    <t>.bj</t>
  </si>
  <si>
    <t> Bermuda</t>
  </si>
  <si>
    <t>BM</t>
  </si>
  <si>
    <t>BMU</t>
  </si>
  <si>
    <t>ISO 3166-2:BM</t>
  </si>
  <si>
    <t>.bm</t>
  </si>
  <si>
    <t> Bhutan</t>
  </si>
  <si>
    <t>the Kingdom of Bhutan</t>
  </si>
  <si>
    <t>BT</t>
  </si>
  <si>
    <t>BTN</t>
  </si>
  <si>
    <t>ISO 3166-2:BT</t>
  </si>
  <si>
    <t>.bt</t>
  </si>
  <si>
    <t> Bolivia (Plurinational State of)</t>
  </si>
  <si>
    <t>the Plurinational State of Bolivia</t>
  </si>
  <si>
    <t>BO</t>
  </si>
  <si>
    <t>BOL</t>
  </si>
  <si>
    <t>ISO 3166-2:BO</t>
  </si>
  <si>
    <t>.bo</t>
  </si>
  <si>
    <t> Bonaire</t>
  </si>
  <si>
    <t> Sint Eustatius</t>
  </si>
  <si>
    <t> Saba</t>
  </si>
  <si>
    <t>BQ</t>
  </si>
  <si>
    <t>BES</t>
  </si>
  <si>
    <t>ISO 3166-2:BQ</t>
  </si>
  <si>
    <t>.bq</t>
  </si>
  <si>
    <t> Bosnia and Herzegovina</t>
  </si>
  <si>
    <t>BA</t>
  </si>
  <si>
    <t>BIH</t>
  </si>
  <si>
    <t>ISO 3166-2:BA</t>
  </si>
  <si>
    <t>.ba</t>
  </si>
  <si>
    <t> Botswana</t>
  </si>
  <si>
    <t>the Republic of Botswana</t>
  </si>
  <si>
    <t>BW</t>
  </si>
  <si>
    <t>BWA</t>
  </si>
  <si>
    <t>ISO 3166-2:BW</t>
  </si>
  <si>
    <t>.bw</t>
  </si>
  <si>
    <t> Bouvet Island</t>
  </si>
  <si>
    <t>Norway</t>
  </si>
  <si>
    <t>BV</t>
  </si>
  <si>
    <t>BVT</t>
  </si>
  <si>
    <t>ISO 3166-2:BV</t>
  </si>
  <si>
    <t>[h]</t>
  </si>
  <si>
    <t> Brazil</t>
  </si>
  <si>
    <t>the Federative Republic of Brazil</t>
  </si>
  <si>
    <t>BRA</t>
  </si>
  <si>
    <t>ISO 3166-2:BR</t>
  </si>
  <si>
    <t>.br</t>
  </si>
  <si>
    <t> British Indian Ocean Territory (the)</t>
  </si>
  <si>
    <t>IO</t>
  </si>
  <si>
    <t>IOT</t>
  </si>
  <si>
    <t>ISO 3166-2:IO</t>
  </si>
  <si>
    <t>.io</t>
  </si>
  <si>
    <t> British Virgin Islands – See Virgin Islands (British).</t>
  </si>
  <si>
    <t>BN</t>
  </si>
  <si>
    <t>BRN</t>
  </si>
  <si>
    <t>ISO 3166-2:BN</t>
  </si>
  <si>
    <t>.bn</t>
  </si>
  <si>
    <t> Bulgaria</t>
  </si>
  <si>
    <t>the Republic of Bulgaria</t>
  </si>
  <si>
    <t>BG</t>
  </si>
  <si>
    <t>BGR</t>
  </si>
  <si>
    <t>ISO 3166-2:BG</t>
  </si>
  <si>
    <t>.bg</t>
  </si>
  <si>
    <t> Burkina Faso</t>
  </si>
  <si>
    <t>BF</t>
  </si>
  <si>
    <t>BFA</t>
  </si>
  <si>
    <t>ISO 3166-2:BF</t>
  </si>
  <si>
    <t>.bf</t>
  </si>
  <si>
    <t> Burma – See Myanmar.</t>
  </si>
  <si>
    <t> Burundi</t>
  </si>
  <si>
    <t>the Republic of Burundi</t>
  </si>
  <si>
    <t>BI</t>
  </si>
  <si>
    <t>BDI</t>
  </si>
  <si>
    <t>ISO 3166-2:BI</t>
  </si>
  <si>
    <t>.bi</t>
  </si>
  <si>
    <t>the Republic of Cabo Verde</t>
  </si>
  <si>
    <t>CV</t>
  </si>
  <si>
    <t>CPV</t>
  </si>
  <si>
    <t>ISO 3166-2:CV</t>
  </si>
  <si>
    <t>.cv</t>
  </si>
  <si>
    <t> Cambodia</t>
  </si>
  <si>
    <t>the Kingdom of Cambodia</t>
  </si>
  <si>
    <t>KH</t>
  </si>
  <si>
    <t>KHM</t>
  </si>
  <si>
    <t>ISO 3166-2:KH</t>
  </si>
  <si>
    <t>.kh</t>
  </si>
  <si>
    <t> Cameroon</t>
  </si>
  <si>
    <t>the Republic of Cameroon</t>
  </si>
  <si>
    <t>CM</t>
  </si>
  <si>
    <t>CMR</t>
  </si>
  <si>
    <t>ISO 3166-2:CM</t>
  </si>
  <si>
    <t>.cm</t>
  </si>
  <si>
    <t> Canada</t>
  </si>
  <si>
    <t>ISO 3166-2:CA</t>
  </si>
  <si>
    <t>.ca</t>
  </si>
  <si>
    <t> Cape Verde – See Cabo Verde.</t>
  </si>
  <si>
    <t> Caribbean Netherlands – See Bonaire, Sint Eustatius and Saba.</t>
  </si>
  <si>
    <t> Cayman Islands (the)</t>
  </si>
  <si>
    <t>KY</t>
  </si>
  <si>
    <t>CYM</t>
  </si>
  <si>
    <t>ISO 3166-2:KY</t>
  </si>
  <si>
    <t>.ky</t>
  </si>
  <si>
    <t> Central African Republic (the)</t>
  </si>
  <si>
    <t>the Central African Republic</t>
  </si>
  <si>
    <t>CF</t>
  </si>
  <si>
    <t>CAF</t>
  </si>
  <si>
    <t>ISO 3166-2:CF</t>
  </si>
  <si>
    <t>.cf</t>
  </si>
  <si>
    <t> Chad</t>
  </si>
  <si>
    <t>the Republic of Chad</t>
  </si>
  <si>
    <t>TD</t>
  </si>
  <si>
    <t>TCD</t>
  </si>
  <si>
    <t>ISO 3166-2:TD</t>
  </si>
  <si>
    <t>.td</t>
  </si>
  <si>
    <t> Chile</t>
  </si>
  <si>
    <t>the Republic of Chile</t>
  </si>
  <si>
    <t>CHL</t>
  </si>
  <si>
    <t>ISO 3166-2:CL</t>
  </si>
  <si>
    <t>.cl</t>
  </si>
  <si>
    <t> China</t>
  </si>
  <si>
    <t>the People's Republic of China</t>
  </si>
  <si>
    <t>ISO 3166-2:CN</t>
  </si>
  <si>
    <t>.cn</t>
  </si>
  <si>
    <t> China, The Republic of – See Taiwan (Province of China).</t>
  </si>
  <si>
    <t> Christmas Island</t>
  </si>
  <si>
    <t>CX</t>
  </si>
  <si>
    <t>CXR</t>
  </si>
  <si>
    <t>ISO 3166-2:CX</t>
  </si>
  <si>
    <t>.cx</t>
  </si>
  <si>
    <t> Cocos (Keeling) Islands (the)</t>
  </si>
  <si>
    <t>CC</t>
  </si>
  <si>
    <t>CCK</t>
  </si>
  <si>
    <t>ISO 3166-2:CC</t>
  </si>
  <si>
    <t>.cc</t>
  </si>
  <si>
    <t> Colombia</t>
  </si>
  <si>
    <t>the Republic of Colombia</t>
  </si>
  <si>
    <t>CO</t>
  </si>
  <si>
    <t>COL</t>
  </si>
  <si>
    <t>ISO 3166-2:CO</t>
  </si>
  <si>
    <t>.co</t>
  </si>
  <si>
    <t> Comoros (the)</t>
  </si>
  <si>
    <t>the Union of the Comoros</t>
  </si>
  <si>
    <t>KM</t>
  </si>
  <si>
    <t>COM</t>
  </si>
  <si>
    <t>ISO 3166-2:KM</t>
  </si>
  <si>
    <t>.km</t>
  </si>
  <si>
    <t> Congo (the Democratic Republic of the)</t>
  </si>
  <si>
    <t>the Democratic Republic of the Congo</t>
  </si>
  <si>
    <t>CD</t>
  </si>
  <si>
    <t>COD</t>
  </si>
  <si>
    <t>ISO 3166-2:CD</t>
  </si>
  <si>
    <t>.cd</t>
  </si>
  <si>
    <t>the Republic of the Congo</t>
  </si>
  <si>
    <t>CG</t>
  </si>
  <si>
    <t>COG</t>
  </si>
  <si>
    <t>ISO 3166-2:CG</t>
  </si>
  <si>
    <t>.cg</t>
  </si>
  <si>
    <t> Cook Islands (the)</t>
  </si>
  <si>
    <t>CK</t>
  </si>
  <si>
    <t>COK</t>
  </si>
  <si>
    <t>ISO 3166-2:CK</t>
  </si>
  <si>
    <t>.ck</t>
  </si>
  <si>
    <t> Costa Rica</t>
  </si>
  <si>
    <t>the Republic of Costa Rica</t>
  </si>
  <si>
    <t>ISO 3166-2:CR</t>
  </si>
  <si>
    <t>.cr</t>
  </si>
  <si>
    <t>the Republic of Côte d'Ivoire</t>
  </si>
  <si>
    <t>CI</t>
  </si>
  <si>
    <t>CIV</t>
  </si>
  <si>
    <t>ISO 3166-2:CI</t>
  </si>
  <si>
    <t>.ci</t>
  </si>
  <si>
    <t> Croatia</t>
  </si>
  <si>
    <t>the Republic of Croatia</t>
  </si>
  <si>
    <t>HR</t>
  </si>
  <si>
    <t>HRV</t>
  </si>
  <si>
    <t>ISO 3166-2:HR</t>
  </si>
  <si>
    <t>.hr</t>
  </si>
  <si>
    <t> Cuba</t>
  </si>
  <si>
    <t>the Republic of Cuba</t>
  </si>
  <si>
    <t>CU</t>
  </si>
  <si>
    <t>CUB</t>
  </si>
  <si>
    <t>ISO 3166-2:CU</t>
  </si>
  <si>
    <t>.cu</t>
  </si>
  <si>
    <t> Curaçao</t>
  </si>
  <si>
    <t>CW</t>
  </si>
  <si>
    <t>CUW</t>
  </si>
  <si>
    <t>ISO 3166-2:CW</t>
  </si>
  <si>
    <t>.cw</t>
  </si>
  <si>
    <t> Cyprus</t>
  </si>
  <si>
    <t>the Republic of Cyprus</t>
  </si>
  <si>
    <t>CY</t>
  </si>
  <si>
    <t>CYP</t>
  </si>
  <si>
    <t>ISO 3166-2:CY</t>
  </si>
  <si>
    <t>.cy</t>
  </si>
  <si>
    <t>the Czech Republic</t>
  </si>
  <si>
    <t>CZ</t>
  </si>
  <si>
    <t>CZE</t>
  </si>
  <si>
    <t>ISO 3166-2:CZ</t>
  </si>
  <si>
    <t>.cz</t>
  </si>
  <si>
    <t> Democratic People's Republic of Korea – See Korea, The Democratic People's Republic of.</t>
  </si>
  <si>
    <t> Democratic Republic of the Congo – See Congo, The Democratic Republic of the.</t>
  </si>
  <si>
    <t> Denmark</t>
  </si>
  <si>
    <t>the Kingdom of Denmark</t>
  </si>
  <si>
    <t>DK</t>
  </si>
  <si>
    <t>DNK</t>
  </si>
  <si>
    <t>ISO 3166-2:DK</t>
  </si>
  <si>
    <t>.dk</t>
  </si>
  <si>
    <t> Djibouti</t>
  </si>
  <si>
    <t>the Republic of Djibouti</t>
  </si>
  <si>
    <t>DJ</t>
  </si>
  <si>
    <t>DJI</t>
  </si>
  <si>
    <t>ISO 3166-2:DJ</t>
  </si>
  <si>
    <t>.dj</t>
  </si>
  <si>
    <t> Dominica</t>
  </si>
  <si>
    <t>the Commonwealth of Dominica</t>
  </si>
  <si>
    <t>DM</t>
  </si>
  <si>
    <t>DMA</t>
  </si>
  <si>
    <t>ISO 3166-2:DM</t>
  </si>
  <si>
    <t>.dm</t>
  </si>
  <si>
    <t> Dominican Republic (the)</t>
  </si>
  <si>
    <t>the Dominican Republic</t>
  </si>
  <si>
    <t>DO</t>
  </si>
  <si>
    <t>DOM</t>
  </si>
  <si>
    <t>ISO 3166-2:DO</t>
  </si>
  <si>
    <t>.do</t>
  </si>
  <si>
    <t> East Timor – See Timor-Leste.</t>
  </si>
  <si>
    <t> Ecuador</t>
  </si>
  <si>
    <t>the Republic of Ecuador</t>
  </si>
  <si>
    <t>ECU</t>
  </si>
  <si>
    <t>ISO 3166-2:EC</t>
  </si>
  <si>
    <t>.ec</t>
  </si>
  <si>
    <t> Egypt</t>
  </si>
  <si>
    <t>the Arab Republic of Egypt</t>
  </si>
  <si>
    <t>EG</t>
  </si>
  <si>
    <t>EGY</t>
  </si>
  <si>
    <t>ISO 3166-2:EG</t>
  </si>
  <si>
    <t>.eg</t>
  </si>
  <si>
    <t> El Salvador</t>
  </si>
  <si>
    <t>the Republic of El Salvador</t>
  </si>
  <si>
    <t>SV</t>
  </si>
  <si>
    <t>SLV</t>
  </si>
  <si>
    <t>ISO 3166-2:SV</t>
  </si>
  <si>
    <t>.sv</t>
  </si>
  <si>
    <t> Equatorial Guinea</t>
  </si>
  <si>
    <t>the Republic of Equatorial Guinea</t>
  </si>
  <si>
    <t>GQ</t>
  </si>
  <si>
    <t>GNQ</t>
  </si>
  <si>
    <t>ISO 3166-2:GQ</t>
  </si>
  <si>
    <t>.gq</t>
  </si>
  <si>
    <t> Eritrea</t>
  </si>
  <si>
    <t>the State of Eritrea</t>
  </si>
  <si>
    <t>ER</t>
  </si>
  <si>
    <t>ERI</t>
  </si>
  <si>
    <t>ISO 3166-2:ER</t>
  </si>
  <si>
    <t>.er</t>
  </si>
  <si>
    <t> Estonia</t>
  </si>
  <si>
    <t>the Republic of Estonia</t>
  </si>
  <si>
    <t>EE</t>
  </si>
  <si>
    <t>EST</t>
  </si>
  <si>
    <t>ISO 3166-2:EE</t>
  </si>
  <si>
    <t>.ee</t>
  </si>
  <si>
    <t>the Kingdom of Eswatini</t>
  </si>
  <si>
    <t>SZ</t>
  </si>
  <si>
    <t>SWZ</t>
  </si>
  <si>
    <t>ISO 3166-2:SZ</t>
  </si>
  <si>
    <t>.sz</t>
  </si>
  <si>
    <t> Ethiopia</t>
  </si>
  <si>
    <t>the Federal Democratic Republic of Ethiopia</t>
  </si>
  <si>
    <t>ET</t>
  </si>
  <si>
    <t>ETH</t>
  </si>
  <si>
    <t>ISO 3166-2:ET</t>
  </si>
  <si>
    <t>.et</t>
  </si>
  <si>
    <t>FK</t>
  </si>
  <si>
    <t>FLK</t>
  </si>
  <si>
    <t>ISO 3166-2:FK</t>
  </si>
  <si>
    <t>.fk</t>
  </si>
  <si>
    <t> Faroe Islands (the)</t>
  </si>
  <si>
    <t>Denmark</t>
  </si>
  <si>
    <t>FO</t>
  </si>
  <si>
    <t>FRO</t>
  </si>
  <si>
    <t>ISO 3166-2:FO</t>
  </si>
  <si>
    <t>.fo</t>
  </si>
  <si>
    <t> Fiji</t>
  </si>
  <si>
    <t>the Republic of Fiji</t>
  </si>
  <si>
    <t>FJ</t>
  </si>
  <si>
    <t>FJI</t>
  </si>
  <si>
    <t>ISO 3166-2:FJ</t>
  </si>
  <si>
    <t>.fj</t>
  </si>
  <si>
    <t> Finland</t>
  </si>
  <si>
    <t>the Republic of Finland</t>
  </si>
  <si>
    <t>FI</t>
  </si>
  <si>
    <t>FIN</t>
  </si>
  <si>
    <t>ISO 3166-2:FI</t>
  </si>
  <si>
    <t>.fi</t>
  </si>
  <si>
    <t>the French Republic</t>
  </si>
  <si>
    <t>FR</t>
  </si>
  <si>
    <t>FRA</t>
  </si>
  <si>
    <t>ISO 3166-2:FR</t>
  </si>
  <si>
    <t>.fr</t>
  </si>
  <si>
    <t> French Guiana</t>
  </si>
  <si>
    <t>France</t>
  </si>
  <si>
    <t>GF</t>
  </si>
  <si>
    <t>GUF</t>
  </si>
  <si>
    <t>ISO 3166-2:GF</t>
  </si>
  <si>
    <t>.gf</t>
  </si>
  <si>
    <t> French Polynesia</t>
  </si>
  <si>
    <t>PF</t>
  </si>
  <si>
    <t>PYF</t>
  </si>
  <si>
    <t>ISO 3166-2:PF</t>
  </si>
  <si>
    <t>.pf</t>
  </si>
  <si>
    <t>TF</t>
  </si>
  <si>
    <t>ATF</t>
  </si>
  <si>
    <t>ISO 3166-2:TF</t>
  </si>
  <si>
    <t>.tf</t>
  </si>
  <si>
    <t> Gabon</t>
  </si>
  <si>
    <t>the Gabonese Republic</t>
  </si>
  <si>
    <t>GA</t>
  </si>
  <si>
    <t>GAB</t>
  </si>
  <si>
    <t>ISO 3166-2:GA</t>
  </si>
  <si>
    <t>.ga</t>
  </si>
  <si>
    <t> Gambia (the)</t>
  </si>
  <si>
    <t>the Republic of The Gambia</t>
  </si>
  <si>
    <t>GM</t>
  </si>
  <si>
    <t>GMB</t>
  </si>
  <si>
    <t>ISO 3166-2:GM</t>
  </si>
  <si>
    <t>.gm</t>
  </si>
  <si>
    <t> Georgia</t>
  </si>
  <si>
    <t>GE</t>
  </si>
  <si>
    <t>GEO</t>
  </si>
  <si>
    <t>ISO 3166-2:GE</t>
  </si>
  <si>
    <t>.ge</t>
  </si>
  <si>
    <t> Germany</t>
  </si>
  <si>
    <t>the Federal Republic of Germany</t>
  </si>
  <si>
    <t>DE</t>
  </si>
  <si>
    <t>DEU</t>
  </si>
  <si>
    <t>ISO 3166-2:DE</t>
  </si>
  <si>
    <t>.de</t>
  </si>
  <si>
    <t> Ghana</t>
  </si>
  <si>
    <t>the Republic of Ghana</t>
  </si>
  <si>
    <t>GH</t>
  </si>
  <si>
    <t>GHA</t>
  </si>
  <si>
    <t>ISO 3166-2:GH</t>
  </si>
  <si>
    <t>.gh</t>
  </si>
  <si>
    <t> Gibraltar</t>
  </si>
  <si>
    <t>GI</t>
  </si>
  <si>
    <t>GIB</t>
  </si>
  <si>
    <t>ISO 3166-2:GI</t>
  </si>
  <si>
    <t>.gi</t>
  </si>
  <si>
    <t> Great Britain – See United Kingdom, The.</t>
  </si>
  <si>
    <t> Greece</t>
  </si>
  <si>
    <t>the Hellenic Republic</t>
  </si>
  <si>
    <t>GR</t>
  </si>
  <si>
    <t>GRC</t>
  </si>
  <si>
    <t>ISO 3166-2:GR</t>
  </si>
  <si>
    <t>.gr</t>
  </si>
  <si>
    <t> Greenland</t>
  </si>
  <si>
    <t>GL</t>
  </si>
  <si>
    <t>GRL</t>
  </si>
  <si>
    <t>ISO 3166-2:GL</t>
  </si>
  <si>
    <t>.gl</t>
  </si>
  <si>
    <t> Grenada</t>
  </si>
  <si>
    <t>GD</t>
  </si>
  <si>
    <t>GRD</t>
  </si>
  <si>
    <t>ISO 3166-2:GD</t>
  </si>
  <si>
    <t>.gd</t>
  </si>
  <si>
    <t> Guadeloupe</t>
  </si>
  <si>
    <t>GP</t>
  </si>
  <si>
    <t>GLP</t>
  </si>
  <si>
    <t>ISO 3166-2:GP</t>
  </si>
  <si>
    <t>.gp</t>
  </si>
  <si>
    <t> Guam</t>
  </si>
  <si>
    <t>GU</t>
  </si>
  <si>
    <t>GUM</t>
  </si>
  <si>
    <t>ISO 3166-2:GU</t>
  </si>
  <si>
    <t>.gu</t>
  </si>
  <si>
    <t> Guatemala</t>
  </si>
  <si>
    <t>the Republic of Guatemala</t>
  </si>
  <si>
    <t>GT</t>
  </si>
  <si>
    <t>GTM</t>
  </si>
  <si>
    <t>ISO 3166-2:GT</t>
  </si>
  <si>
    <t>.gt</t>
  </si>
  <si>
    <t> Guernsey</t>
  </si>
  <si>
    <t>British Crown</t>
  </si>
  <si>
    <t>GG</t>
  </si>
  <si>
    <t>GGY</t>
  </si>
  <si>
    <t>ISO 3166-2:GG</t>
  </si>
  <si>
    <t>.gg</t>
  </si>
  <si>
    <t> Guinea</t>
  </si>
  <si>
    <t>the Republic of Guinea</t>
  </si>
  <si>
    <t>GN</t>
  </si>
  <si>
    <t>GIN</t>
  </si>
  <si>
    <t>ISO 3166-2:GN</t>
  </si>
  <si>
    <t>.gn</t>
  </si>
  <si>
    <t> Guinea-Bissau</t>
  </si>
  <si>
    <t>the Republic of Guinea-Bissau</t>
  </si>
  <si>
    <t>GW</t>
  </si>
  <si>
    <t>GNB</t>
  </si>
  <si>
    <t>ISO 3166-2:GW</t>
  </si>
  <si>
    <t>.gw</t>
  </si>
  <si>
    <t> Guyana</t>
  </si>
  <si>
    <t>the Co-operative Republic of Guyana</t>
  </si>
  <si>
    <t>GY</t>
  </si>
  <si>
    <t>GUY</t>
  </si>
  <si>
    <t>ISO 3166-2:GY</t>
  </si>
  <si>
    <t>.gy</t>
  </si>
  <si>
    <t> Haiti</t>
  </si>
  <si>
    <t>the Republic of Haiti</t>
  </si>
  <si>
    <t>HT</t>
  </si>
  <si>
    <t>HTI</t>
  </si>
  <si>
    <t>ISO 3166-2:HT</t>
  </si>
  <si>
    <t>.ht</t>
  </si>
  <si>
    <t> Heard Island and McDonald Islands</t>
  </si>
  <si>
    <t>HM</t>
  </si>
  <si>
    <t>HMD</t>
  </si>
  <si>
    <t>ISO 3166-2:HM</t>
  </si>
  <si>
    <t>.hm</t>
  </si>
  <si>
    <t>UN observer</t>
  </si>
  <si>
    <t>VA</t>
  </si>
  <si>
    <t>VAT</t>
  </si>
  <si>
    <t>ISO 3166-2:VA</t>
  </si>
  <si>
    <t>.va</t>
  </si>
  <si>
    <t> Honduras</t>
  </si>
  <si>
    <t>the Republic of Honduras</t>
  </si>
  <si>
    <t>HN</t>
  </si>
  <si>
    <t>HND</t>
  </si>
  <si>
    <t>ISO 3166-2:HN</t>
  </si>
  <si>
    <t>.hn</t>
  </si>
  <si>
    <t> Hong Kong</t>
  </si>
  <si>
    <t>HK</t>
  </si>
  <si>
    <t>HKG</t>
  </si>
  <si>
    <t>ISO 3166-2:HK</t>
  </si>
  <si>
    <t>.hk</t>
  </si>
  <si>
    <t> Hungary</t>
  </si>
  <si>
    <t>HU</t>
  </si>
  <si>
    <t>HUN</t>
  </si>
  <si>
    <t>ISO 3166-2:HU</t>
  </si>
  <si>
    <t>.hu</t>
  </si>
  <si>
    <t> Iceland</t>
  </si>
  <si>
    <t>IS</t>
  </si>
  <si>
    <t>ISL</t>
  </si>
  <si>
    <t>ISO 3166-2:IS</t>
  </si>
  <si>
    <t>.is</t>
  </si>
  <si>
    <t> India</t>
  </si>
  <si>
    <t>the Republic of India</t>
  </si>
  <si>
    <t>IN</t>
  </si>
  <si>
    <t>IND</t>
  </si>
  <si>
    <t>ISO 3166-2:IN</t>
  </si>
  <si>
    <t>.in</t>
  </si>
  <si>
    <t> Indonesia</t>
  </si>
  <si>
    <t>the Republic of Indonesia</t>
  </si>
  <si>
    <t>ID</t>
  </si>
  <si>
    <t>IDN</t>
  </si>
  <si>
    <t>ISO 3166-2:ID</t>
  </si>
  <si>
    <t>.id</t>
  </si>
  <si>
    <t>the Islamic Republic of Iran</t>
  </si>
  <si>
    <t>IR</t>
  </si>
  <si>
    <t>IRN</t>
  </si>
  <si>
    <t>ISO 3166-2:IR</t>
  </si>
  <si>
    <t>.ir</t>
  </si>
  <si>
    <t> Iraq</t>
  </si>
  <si>
    <t>the Republic of Iraq</t>
  </si>
  <si>
    <t>IQ</t>
  </si>
  <si>
    <t>IRQ</t>
  </si>
  <si>
    <t>ISO 3166-2:IQ</t>
  </si>
  <si>
    <t>.iq</t>
  </si>
  <si>
    <t> Ireland</t>
  </si>
  <si>
    <t>IE</t>
  </si>
  <si>
    <t>IRL</t>
  </si>
  <si>
    <t>ISO 3166-2:IE</t>
  </si>
  <si>
    <t>.ie</t>
  </si>
  <si>
    <t> Isle of Man</t>
  </si>
  <si>
    <t>IM</t>
  </si>
  <si>
    <t>IMN</t>
  </si>
  <si>
    <t>ISO 3166-2:IM</t>
  </si>
  <si>
    <t>.im</t>
  </si>
  <si>
    <t> Israel</t>
  </si>
  <si>
    <t>the State of Israel</t>
  </si>
  <si>
    <t>IL</t>
  </si>
  <si>
    <t>ISR</t>
  </si>
  <si>
    <t>ISO 3166-2:IL</t>
  </si>
  <si>
    <t>.il</t>
  </si>
  <si>
    <t> Italy</t>
  </si>
  <si>
    <t>the Italian Republic</t>
  </si>
  <si>
    <t>IT</t>
  </si>
  <si>
    <t>ITA</t>
  </si>
  <si>
    <t>ISO 3166-2:IT</t>
  </si>
  <si>
    <t>.it</t>
  </si>
  <si>
    <t> Ivory Coast – See Côte d'Ivoire.</t>
  </si>
  <si>
    <t> Jamaica</t>
  </si>
  <si>
    <t>JM</t>
  </si>
  <si>
    <t>JAM</t>
  </si>
  <si>
    <t>ISO 3166-2:JM</t>
  </si>
  <si>
    <t>.jm</t>
  </si>
  <si>
    <t> Jan Mayen – See Svalbard and Jan Mayen.</t>
  </si>
  <si>
    <t> Japan</t>
  </si>
  <si>
    <t>JPN</t>
  </si>
  <si>
    <t>ISO 3166-2:JP</t>
  </si>
  <si>
    <t>.jp</t>
  </si>
  <si>
    <t> Jersey</t>
  </si>
  <si>
    <t>JE</t>
  </si>
  <si>
    <t>JEY</t>
  </si>
  <si>
    <t>ISO 3166-2:JE</t>
  </si>
  <si>
    <t>.je</t>
  </si>
  <si>
    <t> Jordan</t>
  </si>
  <si>
    <t>the Hashemite Kingdom of Jordan</t>
  </si>
  <si>
    <t>JO</t>
  </si>
  <si>
    <t>JOR</t>
  </si>
  <si>
    <t>ISO 3166-2:JO</t>
  </si>
  <si>
    <t>.jo</t>
  </si>
  <si>
    <t> Kazakhstan</t>
  </si>
  <si>
    <t>the Republic of Kazakhstan</t>
  </si>
  <si>
    <t>KZ</t>
  </si>
  <si>
    <t>KAZ</t>
  </si>
  <si>
    <t>ISO 3166-2:KZ</t>
  </si>
  <si>
    <t>.kz</t>
  </si>
  <si>
    <t> Kenya</t>
  </si>
  <si>
    <t>the Republic of Kenya</t>
  </si>
  <si>
    <t>KE</t>
  </si>
  <si>
    <t>KEN</t>
  </si>
  <si>
    <t>ISO 3166-2:KE</t>
  </si>
  <si>
    <t>.ke</t>
  </si>
  <si>
    <t> Kiribati</t>
  </si>
  <si>
    <t>the Republic of Kiribati</t>
  </si>
  <si>
    <t>KI</t>
  </si>
  <si>
    <t>KIR</t>
  </si>
  <si>
    <t>ISO 3166-2:KI</t>
  </si>
  <si>
    <t>.ki</t>
  </si>
  <si>
    <t>the Democratic People's Republic of Korea</t>
  </si>
  <si>
    <t>KP</t>
  </si>
  <si>
    <t>PRK</t>
  </si>
  <si>
    <t>ISO 3166-2:KP</t>
  </si>
  <si>
    <t>.kp</t>
  </si>
  <si>
    <t>the Republic of Korea</t>
  </si>
  <si>
    <t>KOR</t>
  </si>
  <si>
    <t>ISO 3166-2:KR</t>
  </si>
  <si>
    <t>.kr</t>
  </si>
  <si>
    <t> Kuwait</t>
  </si>
  <si>
    <t>the State of Kuwait</t>
  </si>
  <si>
    <t>KW</t>
  </si>
  <si>
    <t>KWT</t>
  </si>
  <si>
    <t>ISO 3166-2:KW</t>
  </si>
  <si>
    <t>.kw</t>
  </si>
  <si>
    <t> Kyrgyzstan</t>
  </si>
  <si>
    <t>the Kyrgyz Republic</t>
  </si>
  <si>
    <t>KG</t>
  </si>
  <si>
    <t>KGZ</t>
  </si>
  <si>
    <t>ISO 3166-2:KG</t>
  </si>
  <si>
    <t>.kg</t>
  </si>
  <si>
    <t>the Lao People's Democratic Republic</t>
  </si>
  <si>
    <t>LA</t>
  </si>
  <si>
    <t>LAO</t>
  </si>
  <si>
    <t>ISO 3166-2:LA</t>
  </si>
  <si>
    <t>.la</t>
  </si>
  <si>
    <t> Latvia</t>
  </si>
  <si>
    <t>the Republic of Latvia</t>
  </si>
  <si>
    <t>LV</t>
  </si>
  <si>
    <t>LVA</t>
  </si>
  <si>
    <t>ISO 3166-2:LV</t>
  </si>
  <si>
    <t>.lv</t>
  </si>
  <si>
    <t> Lebanon</t>
  </si>
  <si>
    <t>the Lebanese Republic</t>
  </si>
  <si>
    <t>LB</t>
  </si>
  <si>
    <t>LBN</t>
  </si>
  <si>
    <t>ISO 3166-2:LB</t>
  </si>
  <si>
    <t>.lb</t>
  </si>
  <si>
    <t> Lesotho</t>
  </si>
  <si>
    <t>the Kingdom of Lesotho</t>
  </si>
  <si>
    <t>LS</t>
  </si>
  <si>
    <t>LSO</t>
  </si>
  <si>
    <t>ISO 3166-2:LS</t>
  </si>
  <si>
    <t>.ls</t>
  </si>
  <si>
    <t> Liberia</t>
  </si>
  <si>
    <t>the Republic of Liberia</t>
  </si>
  <si>
    <t>LR</t>
  </si>
  <si>
    <t>LBR</t>
  </si>
  <si>
    <t>ISO 3166-2:LR</t>
  </si>
  <si>
    <t>.lr</t>
  </si>
  <si>
    <t> Libya</t>
  </si>
  <si>
    <t>the State of Libya</t>
  </si>
  <si>
    <t>LY</t>
  </si>
  <si>
    <t>LBY</t>
  </si>
  <si>
    <t>ISO 3166-2:LY</t>
  </si>
  <si>
    <t>.ly</t>
  </si>
  <si>
    <t> Liechtenstein</t>
  </si>
  <si>
    <t>the Principality of Liechtenstein</t>
  </si>
  <si>
    <t>LI</t>
  </si>
  <si>
    <t>LIE</t>
  </si>
  <si>
    <t>ISO 3166-2:LI</t>
  </si>
  <si>
    <t>.li</t>
  </si>
  <si>
    <t> Lithuania</t>
  </si>
  <si>
    <t>the Republic of Lithuania</t>
  </si>
  <si>
    <t>LT</t>
  </si>
  <si>
    <t>LTU</t>
  </si>
  <si>
    <t>ISO 3166-2:LT</t>
  </si>
  <si>
    <t>.lt</t>
  </si>
  <si>
    <t> Luxembourg</t>
  </si>
  <si>
    <t>the Grand Duchy of Luxembourg</t>
  </si>
  <si>
    <t>LU</t>
  </si>
  <si>
    <t>LUX</t>
  </si>
  <si>
    <t>ISO 3166-2:LU</t>
  </si>
  <si>
    <t>.lu</t>
  </si>
  <si>
    <t>MO</t>
  </si>
  <si>
    <t>MAC</t>
  </si>
  <si>
    <t>ISO 3166-2:MO</t>
  </si>
  <si>
    <t>.mo</t>
  </si>
  <si>
    <t> Madagascar</t>
  </si>
  <si>
    <t>the Republic of Madagascar</t>
  </si>
  <si>
    <t>MG</t>
  </si>
  <si>
    <t>MDG</t>
  </si>
  <si>
    <t>ISO 3166-2:MG</t>
  </si>
  <si>
    <t>.mg</t>
  </si>
  <si>
    <t> Malawi</t>
  </si>
  <si>
    <t>the Republic of Malawi</t>
  </si>
  <si>
    <t>MW</t>
  </si>
  <si>
    <t>MWI</t>
  </si>
  <si>
    <t>ISO 3166-2:MW</t>
  </si>
  <si>
    <t>.mw</t>
  </si>
  <si>
    <t> Malaysia</t>
  </si>
  <si>
    <t>MY</t>
  </si>
  <si>
    <t>MYS</t>
  </si>
  <si>
    <t>ISO 3166-2:MY</t>
  </si>
  <si>
    <t>.my</t>
  </si>
  <si>
    <t> Maldives</t>
  </si>
  <si>
    <t>the Republic of Maldives</t>
  </si>
  <si>
    <t>MV</t>
  </si>
  <si>
    <t>MDV</t>
  </si>
  <si>
    <t>ISO 3166-2:MV</t>
  </si>
  <si>
    <t>.mv</t>
  </si>
  <si>
    <t> Mali</t>
  </si>
  <si>
    <t>the Republic of Mali</t>
  </si>
  <si>
    <t>ML</t>
  </si>
  <si>
    <t>MLI</t>
  </si>
  <si>
    <t>ISO 3166-2:ML</t>
  </si>
  <si>
    <t>.ml</t>
  </si>
  <si>
    <t> Malta</t>
  </si>
  <si>
    <t>the Republic of Malta</t>
  </si>
  <si>
    <t>MT</t>
  </si>
  <si>
    <t>MLT</t>
  </si>
  <si>
    <t>ISO 3166-2:MT</t>
  </si>
  <si>
    <t>.mt</t>
  </si>
  <si>
    <t> Marshall Islands (the)</t>
  </si>
  <si>
    <t>the Republic of the Marshall Islands</t>
  </si>
  <si>
    <t>MH</t>
  </si>
  <si>
    <t>MHL</t>
  </si>
  <si>
    <t>ISO 3166-2:MH</t>
  </si>
  <si>
    <t>.mh</t>
  </si>
  <si>
    <t> Martinique</t>
  </si>
  <si>
    <t>MQ</t>
  </si>
  <si>
    <t>MTQ</t>
  </si>
  <si>
    <t>ISO 3166-2:MQ</t>
  </si>
  <si>
    <t>.mq</t>
  </si>
  <si>
    <t> Mauritania</t>
  </si>
  <si>
    <t>the Islamic Republic of Mauritania</t>
  </si>
  <si>
    <t>MR</t>
  </si>
  <si>
    <t>MRT</t>
  </si>
  <si>
    <t>ISO 3166-2:MR</t>
  </si>
  <si>
    <t>.mr</t>
  </si>
  <si>
    <t> Mauritius</t>
  </si>
  <si>
    <t>the Republic of Mauritius</t>
  </si>
  <si>
    <t>MU</t>
  </si>
  <si>
    <t>MUS</t>
  </si>
  <si>
    <t>ISO 3166-2:MU</t>
  </si>
  <si>
    <t>.mu</t>
  </si>
  <si>
    <t> Mayotte</t>
  </si>
  <si>
    <t>YT</t>
  </si>
  <si>
    <t>MYT</t>
  </si>
  <si>
    <t>ISO 3166-2:YT</t>
  </si>
  <si>
    <t>.yt</t>
  </si>
  <si>
    <t> Mexico</t>
  </si>
  <si>
    <t>the United Mexican States</t>
  </si>
  <si>
    <t>MEX</t>
  </si>
  <si>
    <t>ISO 3166-2:MX</t>
  </si>
  <si>
    <t>.mx</t>
  </si>
  <si>
    <t> Micronesia (Federated States of)</t>
  </si>
  <si>
    <t>the Federated States of Micronesia</t>
  </si>
  <si>
    <t>FM</t>
  </si>
  <si>
    <t>FSM</t>
  </si>
  <si>
    <t>ISO 3166-2:FM</t>
  </si>
  <si>
    <t>.fm</t>
  </si>
  <si>
    <t> Moldova (the Republic of)</t>
  </si>
  <si>
    <t>the Republic of Moldova</t>
  </si>
  <si>
    <t>MD</t>
  </si>
  <si>
    <t>MDA</t>
  </si>
  <si>
    <t>ISO 3166-2:MD</t>
  </si>
  <si>
    <t>.md</t>
  </si>
  <si>
    <t> Monaco</t>
  </si>
  <si>
    <t>the Principality of Monaco</t>
  </si>
  <si>
    <t>MC</t>
  </si>
  <si>
    <t>MCO</t>
  </si>
  <si>
    <t>ISO 3166-2:MC</t>
  </si>
  <si>
    <t>.mc</t>
  </si>
  <si>
    <t> Mongolia</t>
  </si>
  <si>
    <t>MN</t>
  </si>
  <si>
    <t>MNG</t>
  </si>
  <si>
    <t>ISO 3166-2:MN</t>
  </si>
  <si>
    <t>.mn</t>
  </si>
  <si>
    <t> Montenegro</t>
  </si>
  <si>
    <t>ME</t>
  </si>
  <si>
    <t>MNE</t>
  </si>
  <si>
    <t>ISO 3166-2:ME</t>
  </si>
  <si>
    <t>.me</t>
  </si>
  <si>
    <t> Montserrat</t>
  </si>
  <si>
    <t>MS</t>
  </si>
  <si>
    <t>MSR</t>
  </si>
  <si>
    <t>ISO 3166-2:MS</t>
  </si>
  <si>
    <t>.ms</t>
  </si>
  <si>
    <t> Morocco</t>
  </si>
  <si>
    <t>the Kingdom of Morocco</t>
  </si>
  <si>
    <t>MA</t>
  </si>
  <si>
    <t>MAR</t>
  </si>
  <si>
    <t>ISO 3166-2:MA</t>
  </si>
  <si>
    <t>.ma</t>
  </si>
  <si>
    <t> Mozambique</t>
  </si>
  <si>
    <t>the Republic of Mozambique</t>
  </si>
  <si>
    <t>MZ</t>
  </si>
  <si>
    <t>MOZ</t>
  </si>
  <si>
    <t>ISO 3166-2:MZ</t>
  </si>
  <si>
    <t>.mz</t>
  </si>
  <si>
    <t>MM</t>
  </si>
  <si>
    <t>MMR</t>
  </si>
  <si>
    <t>ISO 3166-2:MM</t>
  </si>
  <si>
    <t>.mm</t>
  </si>
  <si>
    <t> Namibia</t>
  </si>
  <si>
    <t>the Republic of Namibia</t>
  </si>
  <si>
    <t>NA</t>
  </si>
  <si>
    <t>NAM</t>
  </si>
  <si>
    <t>ISO 3166-2:NA</t>
  </si>
  <si>
    <t>.na</t>
  </si>
  <si>
    <t> Nauru</t>
  </si>
  <si>
    <t>the Republic of Nauru</t>
  </si>
  <si>
    <t>NR</t>
  </si>
  <si>
    <t>NRU</t>
  </si>
  <si>
    <t>ISO 3166-2:NR</t>
  </si>
  <si>
    <t>.nr</t>
  </si>
  <si>
    <t>   Nepal</t>
  </si>
  <si>
    <t>NP</t>
  </si>
  <si>
    <t>NPL</t>
  </si>
  <si>
    <t>ISO 3166-2:NP</t>
  </si>
  <si>
    <t>.np</t>
  </si>
  <si>
    <t> Netherlands (Kingdom of the)</t>
  </si>
  <si>
    <t>the Kingdom of the Netherlands</t>
  </si>
  <si>
    <t>NLD</t>
  </si>
  <si>
    <t>ISO 3166-2:NL</t>
  </si>
  <si>
    <t>.nl</t>
  </si>
  <si>
    <t> New Caledonia</t>
  </si>
  <si>
    <t>NC</t>
  </si>
  <si>
    <t>NCL</t>
  </si>
  <si>
    <t>ISO 3166-2:NC</t>
  </si>
  <si>
    <t>.nc</t>
  </si>
  <si>
    <t> New Zealand</t>
  </si>
  <si>
    <t>NZL</t>
  </si>
  <si>
    <t>ISO 3166-2:NZ</t>
  </si>
  <si>
    <t>.nz</t>
  </si>
  <si>
    <t> Nicaragua</t>
  </si>
  <si>
    <t>the Republic of Nicaragua</t>
  </si>
  <si>
    <t>NI</t>
  </si>
  <si>
    <t>NIC</t>
  </si>
  <si>
    <t>ISO 3166-2:NI</t>
  </si>
  <si>
    <t>.ni</t>
  </si>
  <si>
    <t> Niger (the)</t>
  </si>
  <si>
    <t>the Republic of the Niger</t>
  </si>
  <si>
    <t>NE</t>
  </si>
  <si>
    <t>NER</t>
  </si>
  <si>
    <t>ISO 3166-2:NE</t>
  </si>
  <si>
    <t>.ne</t>
  </si>
  <si>
    <t> Nigeria</t>
  </si>
  <si>
    <t>the Federal Republic of Nigeria</t>
  </si>
  <si>
    <t>NG</t>
  </si>
  <si>
    <t>NGA</t>
  </si>
  <si>
    <t>ISO 3166-2:NG</t>
  </si>
  <si>
    <t>.ng</t>
  </si>
  <si>
    <t> Niue</t>
  </si>
  <si>
    <t>NU</t>
  </si>
  <si>
    <t>NIU</t>
  </si>
  <si>
    <t>ISO 3166-2:NU</t>
  </si>
  <si>
    <t>.nu</t>
  </si>
  <si>
    <t> Norfolk Island</t>
  </si>
  <si>
    <t>NF</t>
  </si>
  <si>
    <t>NFK</t>
  </si>
  <si>
    <t>ISO 3166-2:NF</t>
  </si>
  <si>
    <t>.nf</t>
  </si>
  <si>
    <t> North Korea – See Korea, The Democratic People's Republic of.</t>
  </si>
  <si>
    <t>MK</t>
  </si>
  <si>
    <t>MKD</t>
  </si>
  <si>
    <t>ISO 3166-2:MK</t>
  </si>
  <si>
    <t>.mk</t>
  </si>
  <si>
    <t> Northern Mariana Islands (the)</t>
  </si>
  <si>
    <t>the Commonwealth of the Northern Mariana Islands</t>
  </si>
  <si>
    <t>MNP</t>
  </si>
  <si>
    <t>ISO 3166-2:MP</t>
  </si>
  <si>
    <t>.mp</t>
  </si>
  <si>
    <t> Norway</t>
  </si>
  <si>
    <t>the Kingdom of Norway</t>
  </si>
  <si>
    <t>NO</t>
  </si>
  <si>
    <t>NOR</t>
  </si>
  <si>
    <t>ISO 3166-2:NO</t>
  </si>
  <si>
    <t>.no</t>
  </si>
  <si>
    <t> Oman</t>
  </si>
  <si>
    <t>the Sultanate of Oman</t>
  </si>
  <si>
    <t>OM</t>
  </si>
  <si>
    <t>OMN</t>
  </si>
  <si>
    <t>ISO 3166-2:OM</t>
  </si>
  <si>
    <t>.om</t>
  </si>
  <si>
    <t> Pakistan</t>
  </si>
  <si>
    <t>the Islamic Republic of Pakistan</t>
  </si>
  <si>
    <t>PK</t>
  </si>
  <si>
    <t>PAK</t>
  </si>
  <si>
    <t>ISO 3166-2:PK</t>
  </si>
  <si>
    <t>.pk</t>
  </si>
  <si>
    <t> Palau</t>
  </si>
  <si>
    <t>the Republic of Palau</t>
  </si>
  <si>
    <t>PW</t>
  </si>
  <si>
    <t>PLW</t>
  </si>
  <si>
    <t>ISO 3166-2:PW</t>
  </si>
  <si>
    <t>.pw</t>
  </si>
  <si>
    <t> Palestine, State of</t>
  </si>
  <si>
    <t>PS</t>
  </si>
  <si>
    <t>PSE</t>
  </si>
  <si>
    <t>ISO 3166-2:PS</t>
  </si>
  <si>
    <t>.ps</t>
  </si>
  <si>
    <t> Panama</t>
  </si>
  <si>
    <t>the Republic of Panama</t>
  </si>
  <si>
    <t>PA</t>
  </si>
  <si>
    <t>PAN</t>
  </si>
  <si>
    <t>ISO 3166-2:PA</t>
  </si>
  <si>
    <t>.pa</t>
  </si>
  <si>
    <t> Papua New Guinea</t>
  </si>
  <si>
    <t>the Independent State of Papua New Guinea</t>
  </si>
  <si>
    <t>PG</t>
  </si>
  <si>
    <t>PNG</t>
  </si>
  <si>
    <t>ISO 3166-2:PG</t>
  </si>
  <si>
    <t>.pg</t>
  </si>
  <si>
    <t> Paraguay</t>
  </si>
  <si>
    <t>the Republic of Paraguay</t>
  </si>
  <si>
    <t>PY</t>
  </si>
  <si>
    <t>PRY</t>
  </si>
  <si>
    <t>ISO 3166-2:PY</t>
  </si>
  <si>
    <t>.py</t>
  </si>
  <si>
    <t> People's Republic of China – See China.</t>
  </si>
  <si>
    <t> Peru</t>
  </si>
  <si>
    <t>the Republic of Peru</t>
  </si>
  <si>
    <t>PE</t>
  </si>
  <si>
    <t>ISO 3166-2:PE</t>
  </si>
  <si>
    <t>.pe</t>
  </si>
  <si>
    <t> Philippines (the)</t>
  </si>
  <si>
    <t>the Republic of the Philippines</t>
  </si>
  <si>
    <t>PH</t>
  </si>
  <si>
    <t>PHL</t>
  </si>
  <si>
    <t>ISO 3166-2:PH</t>
  </si>
  <si>
    <t>.ph</t>
  </si>
  <si>
    <t>PN</t>
  </si>
  <si>
    <t>PCN</t>
  </si>
  <si>
    <t>ISO 3166-2:PN</t>
  </si>
  <si>
    <t>.pn</t>
  </si>
  <si>
    <t> Poland</t>
  </si>
  <si>
    <t>the Republic of Poland</t>
  </si>
  <si>
    <t>PL</t>
  </si>
  <si>
    <t>POL</t>
  </si>
  <si>
    <t>ISO 3166-2:PL</t>
  </si>
  <si>
    <t>.pl</t>
  </si>
  <si>
    <t> Portugal</t>
  </si>
  <si>
    <t>the Portuguese Republic</t>
  </si>
  <si>
    <t>PT</t>
  </si>
  <si>
    <t>PRT</t>
  </si>
  <si>
    <t>ISO 3166-2:PT</t>
  </si>
  <si>
    <t>.pt</t>
  </si>
  <si>
    <t> Puerto Rico</t>
  </si>
  <si>
    <t>PR</t>
  </si>
  <si>
    <t>PRI</t>
  </si>
  <si>
    <t>ISO 3166-2:PR</t>
  </si>
  <si>
    <t>.pr</t>
  </si>
  <si>
    <t> Qatar</t>
  </si>
  <si>
    <t>the State of Qatar</t>
  </si>
  <si>
    <t>QA</t>
  </si>
  <si>
    <t>QAT</t>
  </si>
  <si>
    <t>ISO 3166-2:QA</t>
  </si>
  <si>
    <t>.qa</t>
  </si>
  <si>
    <t> Republic of China – See Taiwan (Province of China).</t>
  </si>
  <si>
    <t> Republic of Korea – See Korea, The Republic of.</t>
  </si>
  <si>
    <t> Republic of the Congo – See Congo, The.</t>
  </si>
  <si>
    <t> Réunion</t>
  </si>
  <si>
    <t>RE</t>
  </si>
  <si>
    <t>REU</t>
  </si>
  <si>
    <t>ISO 3166-2:RE</t>
  </si>
  <si>
    <t>.re</t>
  </si>
  <si>
    <t> Romania</t>
  </si>
  <si>
    <t>RO</t>
  </si>
  <si>
    <t>ROU</t>
  </si>
  <si>
    <t>ISO 3166-2:RO</t>
  </si>
  <si>
    <t>.ro</t>
  </si>
  <si>
    <t>the Russian Federation</t>
  </si>
  <si>
    <t>RU</t>
  </si>
  <si>
    <t>RUS</t>
  </si>
  <si>
    <t>ISO 3166-2:RU</t>
  </si>
  <si>
    <t>.ru</t>
  </si>
  <si>
    <t> Rwanda</t>
  </si>
  <si>
    <t>the Republic of Rwanda</t>
  </si>
  <si>
    <t>RW</t>
  </si>
  <si>
    <t>RWA</t>
  </si>
  <si>
    <t>ISO 3166-2:RW</t>
  </si>
  <si>
    <t>.rw</t>
  </si>
  <si>
    <t> Saba – See Bonaire, Sint Eustatius and Saba.</t>
  </si>
  <si>
    <t> Sahrawi Arab Democratic Republic – See Western Sahara.</t>
  </si>
  <si>
    <t> Saint Barthélemy</t>
  </si>
  <si>
    <t>BL</t>
  </si>
  <si>
    <t>BLM</t>
  </si>
  <si>
    <t>ISO 3166-2:BL</t>
  </si>
  <si>
    <t>.bl</t>
  </si>
  <si>
    <t> Saint Helena</t>
  </si>
  <si>
    <t> Ascension Island</t>
  </si>
  <si>
    <t> Tristan da Cunha</t>
  </si>
  <si>
    <t>SH</t>
  </si>
  <si>
    <t>SHN</t>
  </si>
  <si>
    <t>ISO 3166-2:SH</t>
  </si>
  <si>
    <t>.sh</t>
  </si>
  <si>
    <t> Saint Kitts and Nevis</t>
  </si>
  <si>
    <t>KN</t>
  </si>
  <si>
    <t>KNA</t>
  </si>
  <si>
    <t>ISO 3166-2:KN</t>
  </si>
  <si>
    <t>.kn</t>
  </si>
  <si>
    <t> Saint Lucia</t>
  </si>
  <si>
    <t>LC</t>
  </si>
  <si>
    <t>LCA</t>
  </si>
  <si>
    <t>ISO 3166-2:LC</t>
  </si>
  <si>
    <t>.lc</t>
  </si>
  <si>
    <t> Saint Martin (French part)</t>
  </si>
  <si>
    <t>MF</t>
  </si>
  <si>
    <t>MAF</t>
  </si>
  <si>
    <t>ISO 3166-2:MF</t>
  </si>
  <si>
    <t>.mf</t>
  </si>
  <si>
    <t> Saint Pierre and Miquelon</t>
  </si>
  <si>
    <t>PM</t>
  </si>
  <si>
    <t>SPM</t>
  </si>
  <si>
    <t>ISO 3166-2:PM</t>
  </si>
  <si>
    <t>.pm</t>
  </si>
  <si>
    <t> Saint Vincent and the Grenadines</t>
  </si>
  <si>
    <t>VC</t>
  </si>
  <si>
    <t>VCT</t>
  </si>
  <si>
    <t>ISO 3166-2:VC</t>
  </si>
  <si>
    <t>.vc</t>
  </si>
  <si>
    <t> Samoa</t>
  </si>
  <si>
    <t>the Independent State of Samoa</t>
  </si>
  <si>
    <t>WS</t>
  </si>
  <si>
    <t>WSM</t>
  </si>
  <si>
    <t>ISO 3166-2:WS</t>
  </si>
  <si>
    <t>.ws</t>
  </si>
  <si>
    <t> San Marino</t>
  </si>
  <si>
    <t>the Republic of San Marino</t>
  </si>
  <si>
    <t>SM</t>
  </si>
  <si>
    <t>SMR</t>
  </si>
  <si>
    <t>ISO 3166-2:SM</t>
  </si>
  <si>
    <t>.sm</t>
  </si>
  <si>
    <t> Sao Tome and Principe</t>
  </si>
  <si>
    <t>the Democratic Republic of São Tomé and Príncipe</t>
  </si>
  <si>
    <t>ST</t>
  </si>
  <si>
    <t>STP</t>
  </si>
  <si>
    <t>ISO 3166-2:ST</t>
  </si>
  <si>
    <t>.st</t>
  </si>
  <si>
    <t> Saudi Arabia</t>
  </si>
  <si>
    <t>the Kingdom of Saudi Arabia</t>
  </si>
  <si>
    <t>SA</t>
  </si>
  <si>
    <t>SAU</t>
  </si>
  <si>
    <t>ISO 3166-2:SA</t>
  </si>
  <si>
    <t>.sa</t>
  </si>
  <si>
    <t> Senegal</t>
  </si>
  <si>
    <t>the Republic of Senegal</t>
  </si>
  <si>
    <t>SN</t>
  </si>
  <si>
    <t>SEN</t>
  </si>
  <si>
    <t>ISO 3166-2:SN</t>
  </si>
  <si>
    <t>.sn</t>
  </si>
  <si>
    <t> Serbia</t>
  </si>
  <si>
    <t>the Republic of Serbia</t>
  </si>
  <si>
    <t>RS</t>
  </si>
  <si>
    <t>SRB</t>
  </si>
  <si>
    <t>ISO 3166-2:RS</t>
  </si>
  <si>
    <t>.rs</t>
  </si>
  <si>
    <t> Seychelles</t>
  </si>
  <si>
    <t>the Republic of Seychelles</t>
  </si>
  <si>
    <t>SC</t>
  </si>
  <si>
    <t>SYC</t>
  </si>
  <si>
    <t>ISO 3166-2:SC</t>
  </si>
  <si>
    <t>.sc</t>
  </si>
  <si>
    <t> Sierra Leone</t>
  </si>
  <si>
    <t>the Republic of Sierra Leone</t>
  </si>
  <si>
    <t>SL</t>
  </si>
  <si>
    <t>SLE</t>
  </si>
  <si>
    <t>ISO 3166-2:SL</t>
  </si>
  <si>
    <t>.sl</t>
  </si>
  <si>
    <t> Singapore</t>
  </si>
  <si>
    <t>the Republic of Singapore</t>
  </si>
  <si>
    <t>SG</t>
  </si>
  <si>
    <t>SGP</t>
  </si>
  <si>
    <t>ISO 3166-2:SG</t>
  </si>
  <si>
    <t>.sg</t>
  </si>
  <si>
    <t> Sint Eustatius – See Bonaire, Sint Eustatius and Saba.</t>
  </si>
  <si>
    <t> Sint Maarten (Dutch part)</t>
  </si>
  <si>
    <t>SX</t>
  </si>
  <si>
    <t>SXM</t>
  </si>
  <si>
    <t>ISO 3166-2:SX</t>
  </si>
  <si>
    <t>.sx</t>
  </si>
  <si>
    <t> Slovakia</t>
  </si>
  <si>
    <t>the Slovak Republic</t>
  </si>
  <si>
    <t>SK</t>
  </si>
  <si>
    <t>SVK</t>
  </si>
  <si>
    <t>ISO 3166-2:SK</t>
  </si>
  <si>
    <t>.sk</t>
  </si>
  <si>
    <t> Slovenia</t>
  </si>
  <si>
    <t>the Republic of Slovenia</t>
  </si>
  <si>
    <t>SI</t>
  </si>
  <si>
    <t>SVN</t>
  </si>
  <si>
    <t>ISO 3166-2:SI</t>
  </si>
  <si>
    <t>.si</t>
  </si>
  <si>
    <t> Solomon Islands</t>
  </si>
  <si>
    <t>SB</t>
  </si>
  <si>
    <t>SLB</t>
  </si>
  <si>
    <t>ISO 3166-2:SB</t>
  </si>
  <si>
    <t>.sb</t>
  </si>
  <si>
    <t> Somalia</t>
  </si>
  <si>
    <t>the Federal Republic of Somalia</t>
  </si>
  <si>
    <t>SO</t>
  </si>
  <si>
    <t>SOM</t>
  </si>
  <si>
    <t>ISO 3166-2:SO</t>
  </si>
  <si>
    <t>.so</t>
  </si>
  <si>
    <t> South Africa</t>
  </si>
  <si>
    <t>the Republic of South Africa</t>
  </si>
  <si>
    <t>ZA</t>
  </si>
  <si>
    <t>ZAF</t>
  </si>
  <si>
    <t>ISO 3166-2:ZA</t>
  </si>
  <si>
    <t>.za</t>
  </si>
  <si>
    <t> South Georgia and the South Sandwich Islands</t>
  </si>
  <si>
    <t>South Georgia and the South Sandwich Islands</t>
  </si>
  <si>
    <t>GS</t>
  </si>
  <si>
    <t>SGS</t>
  </si>
  <si>
    <t>ISO 3166-2:GS</t>
  </si>
  <si>
    <t>.gs</t>
  </si>
  <si>
    <t> South Korea – See Korea, The Republic of.</t>
  </si>
  <si>
    <t> South Sudan</t>
  </si>
  <si>
    <t>the Republic of South Sudan</t>
  </si>
  <si>
    <t>SS</t>
  </si>
  <si>
    <t>SSD</t>
  </si>
  <si>
    <t>ISO 3166-2:SS</t>
  </si>
  <si>
    <t>.ss</t>
  </si>
  <si>
    <t> Spain</t>
  </si>
  <si>
    <t>the Kingdom of Spain</t>
  </si>
  <si>
    <t>ESP</t>
  </si>
  <si>
    <t>ISO 3166-2:ES</t>
  </si>
  <si>
    <t>.es</t>
  </si>
  <si>
    <t> Sri Lanka</t>
  </si>
  <si>
    <t>the Democratic Socialist Republic of Sri Lanka</t>
  </si>
  <si>
    <t>LK</t>
  </si>
  <si>
    <t>LKA</t>
  </si>
  <si>
    <t>ISO 3166-2:LK</t>
  </si>
  <si>
    <t>.lk</t>
  </si>
  <si>
    <t> Sudan (the)</t>
  </si>
  <si>
    <t>the Republic of the Sudan</t>
  </si>
  <si>
    <t>SD</t>
  </si>
  <si>
    <t>SDN</t>
  </si>
  <si>
    <t>ISO 3166-2:SD</t>
  </si>
  <si>
    <t>.sd</t>
  </si>
  <si>
    <t> Suriname</t>
  </si>
  <si>
    <t>the Republic of Suriname</t>
  </si>
  <si>
    <t>SR</t>
  </si>
  <si>
    <t>SUR</t>
  </si>
  <si>
    <t>ISO 3166-2:SR</t>
  </si>
  <si>
    <t>.sr</t>
  </si>
  <si>
    <t> Svalbard</t>
  </si>
  <si>
    <t> Jan Mayen</t>
  </si>
  <si>
    <t>SJ</t>
  </si>
  <si>
    <t>SJM</t>
  </si>
  <si>
    <t>ISO 3166-2:SJ</t>
  </si>
  <si>
    <t>[ab]</t>
  </si>
  <si>
    <t> Sweden</t>
  </si>
  <si>
    <t>the Kingdom of Sweden</t>
  </si>
  <si>
    <t>SE</t>
  </si>
  <si>
    <t>SWE</t>
  </si>
  <si>
    <t>ISO 3166-2:SE</t>
  </si>
  <si>
    <t>.se</t>
  </si>
  <si>
    <t>  Switzerland</t>
  </si>
  <si>
    <t>the Swiss Confederation</t>
  </si>
  <si>
    <t>CHE</t>
  </si>
  <si>
    <t>ISO 3166-2:CH</t>
  </si>
  <si>
    <t>.ch</t>
  </si>
  <si>
    <t>the Syrian Arab Republic</t>
  </si>
  <si>
    <t>SY</t>
  </si>
  <si>
    <t>SYR</t>
  </si>
  <si>
    <t>ISO 3166-2:SY</t>
  </si>
  <si>
    <t>.sy</t>
  </si>
  <si>
    <t>TWN</t>
  </si>
  <si>
    <t>ISO 3166-2:TW</t>
  </si>
  <si>
    <t>.tw</t>
  </si>
  <si>
    <t> Tajikistan</t>
  </si>
  <si>
    <t>the Republic of Tajikistan</t>
  </si>
  <si>
    <t>TJ</t>
  </si>
  <si>
    <t>TJK</t>
  </si>
  <si>
    <t>ISO 3166-2:TJ</t>
  </si>
  <si>
    <t>.tj</t>
  </si>
  <si>
    <t> Tanzania, the United Republic of</t>
  </si>
  <si>
    <t>the United Republic of Tanzania</t>
  </si>
  <si>
    <t>TZ</t>
  </si>
  <si>
    <t>TZA</t>
  </si>
  <si>
    <t>ISO 3166-2:TZ</t>
  </si>
  <si>
    <t>.tz</t>
  </si>
  <si>
    <t> Thailand</t>
  </si>
  <si>
    <t>the Kingdom of Thailand</t>
  </si>
  <si>
    <t>TH</t>
  </si>
  <si>
    <t>THA</t>
  </si>
  <si>
    <t>ISO 3166-2:TH</t>
  </si>
  <si>
    <t>.th</t>
  </si>
  <si>
    <t>the Democratic Republic of Timor-Leste</t>
  </si>
  <si>
    <t>TL</t>
  </si>
  <si>
    <t>TLS</t>
  </si>
  <si>
    <t>ISO 3166-2:TL</t>
  </si>
  <si>
    <t>.tl</t>
  </si>
  <si>
    <t> Togo</t>
  </si>
  <si>
    <t>the Togolese Republic</t>
  </si>
  <si>
    <t>TG</t>
  </si>
  <si>
    <t>TGO</t>
  </si>
  <si>
    <t>ISO 3166-2:TG</t>
  </si>
  <si>
    <t>.tg</t>
  </si>
  <si>
    <t> Tokelau</t>
  </si>
  <si>
    <t>TK</t>
  </si>
  <si>
    <t>TKL</t>
  </si>
  <si>
    <t>ISO 3166-2:TK</t>
  </si>
  <si>
    <t>.tk</t>
  </si>
  <si>
    <t> Tonga</t>
  </si>
  <si>
    <t>the Kingdom of Tonga</t>
  </si>
  <si>
    <t>TO</t>
  </si>
  <si>
    <t>TON</t>
  </si>
  <si>
    <t>ISO 3166-2:TO</t>
  </si>
  <si>
    <t>.to</t>
  </si>
  <si>
    <t> Trinidad and Tobago</t>
  </si>
  <si>
    <t>the Republic of Trinidad and Tobago</t>
  </si>
  <si>
    <t>TT</t>
  </si>
  <si>
    <t>TTO</t>
  </si>
  <si>
    <t>ISO 3166-2:TT</t>
  </si>
  <si>
    <t>.tt</t>
  </si>
  <si>
    <t> Tunisia</t>
  </si>
  <si>
    <t>the Republic of Tunisia</t>
  </si>
  <si>
    <t>TN</t>
  </si>
  <si>
    <t>TUN</t>
  </si>
  <si>
    <t>ISO 3166-2:TN</t>
  </si>
  <si>
    <t>.tn</t>
  </si>
  <si>
    <t>the Republic of Türkiye</t>
  </si>
  <si>
    <t>TR</t>
  </si>
  <si>
    <t>TUR</t>
  </si>
  <si>
    <t>ISO 3166-2:TR</t>
  </si>
  <si>
    <t>.tr</t>
  </si>
  <si>
    <t> Turkmenistan</t>
  </si>
  <si>
    <t>TM</t>
  </si>
  <si>
    <t>TKM</t>
  </si>
  <si>
    <t>ISO 3166-2:TM</t>
  </si>
  <si>
    <t>.tm</t>
  </si>
  <si>
    <t> Turks and Caicos Islands (the)</t>
  </si>
  <si>
    <t>TC</t>
  </si>
  <si>
    <t>TCA</t>
  </si>
  <si>
    <t>ISO 3166-2:TC</t>
  </si>
  <si>
    <t>.tc</t>
  </si>
  <si>
    <t> Tuvalu</t>
  </si>
  <si>
    <t>TV</t>
  </si>
  <si>
    <t>TUV</t>
  </si>
  <si>
    <t>ISO 3166-2:TV</t>
  </si>
  <si>
    <t>.tv</t>
  </si>
  <si>
    <t> Uganda</t>
  </si>
  <si>
    <t>the Republic of Uganda</t>
  </si>
  <si>
    <t>UG</t>
  </si>
  <si>
    <t>UGA</t>
  </si>
  <si>
    <t>ISO 3166-2:UG</t>
  </si>
  <si>
    <t>.ug</t>
  </si>
  <si>
    <t>Ukraine</t>
  </si>
  <si>
    <t>UA</t>
  </si>
  <si>
    <t>UKR</t>
  </si>
  <si>
    <t>ISO 3166-2:UA</t>
  </si>
  <si>
    <t>.ua</t>
  </si>
  <si>
    <t> United Arab Emirates (the)</t>
  </si>
  <si>
    <t>the United Arab Emirates</t>
  </si>
  <si>
    <t>AE</t>
  </si>
  <si>
    <t>ARE</t>
  </si>
  <si>
    <t>ISO 3166-2:AE</t>
  </si>
  <si>
    <t>.ae</t>
  </si>
  <si>
    <t> United Kingdom of Great Britain and Northern Ireland (the)</t>
  </si>
  <si>
    <t>the United Kingdom of Great Britain and Northern Ireland</t>
  </si>
  <si>
    <t>GB</t>
  </si>
  <si>
    <t>GBR</t>
  </si>
  <si>
    <t>ISO 3166-2:GB</t>
  </si>
  <si>
    <t>.gb</t>
  </si>
  <si>
    <t>.uk</t>
  </si>
  <si>
    <t>[ah]</t>
  </si>
  <si>
    <t>UM</t>
  </si>
  <si>
    <t>UMI</t>
  </si>
  <si>
    <t>ISO 3166-2:UM</t>
  </si>
  <si>
    <t>[aj]</t>
  </si>
  <si>
    <t> United States of America (the)</t>
  </si>
  <si>
    <t>the United States of America</t>
  </si>
  <si>
    <t>ISO 3166-2:US</t>
  </si>
  <si>
    <t>.us</t>
  </si>
  <si>
    <t> United States Virgin Islands – See Virgin Islands (U.S.).</t>
  </si>
  <si>
    <t> Uruguay</t>
  </si>
  <si>
    <t>the Oriental Republic of Uruguay</t>
  </si>
  <si>
    <t>URY</t>
  </si>
  <si>
    <t>ISO 3166-2:UY</t>
  </si>
  <si>
    <t>.uy</t>
  </si>
  <si>
    <t> Uzbekistan</t>
  </si>
  <si>
    <t>the Republic of Uzbekistan</t>
  </si>
  <si>
    <t>UZ</t>
  </si>
  <si>
    <t>UZB</t>
  </si>
  <si>
    <t>ISO 3166-2:UZ</t>
  </si>
  <si>
    <t>.uz</t>
  </si>
  <si>
    <t> Vanuatu</t>
  </si>
  <si>
    <t>the Republic of Vanuatu</t>
  </si>
  <si>
    <t>VU</t>
  </si>
  <si>
    <t>VUT</t>
  </si>
  <si>
    <t>ISO 3166-2:VU</t>
  </si>
  <si>
    <t>.vu</t>
  </si>
  <si>
    <t> Vatican City – See Holy See, The.</t>
  </si>
  <si>
    <t> Venezuela (Bolivarian Republic of)</t>
  </si>
  <si>
    <t>the Bolivarian Republic of Venezuela</t>
  </si>
  <si>
    <t>VE</t>
  </si>
  <si>
    <t>VEN</t>
  </si>
  <si>
    <t>ISO 3166-2:VE</t>
  </si>
  <si>
    <t>.ve</t>
  </si>
  <si>
    <t>the Socialist Republic of Viet Nam</t>
  </si>
  <si>
    <t>VN</t>
  </si>
  <si>
    <t>VNM</t>
  </si>
  <si>
    <t>ISO 3166-2:VN</t>
  </si>
  <si>
    <t>.vn</t>
  </si>
  <si>
    <t>VG</t>
  </si>
  <si>
    <t>VGB</t>
  </si>
  <si>
    <t>ISO 3166-2:VG</t>
  </si>
  <si>
    <t>.vg</t>
  </si>
  <si>
    <t>the Virgin Islands of the United States</t>
  </si>
  <si>
    <t>VI</t>
  </si>
  <si>
    <t>VIR</t>
  </si>
  <si>
    <t>ISO 3166-2:VI</t>
  </si>
  <si>
    <t>.vi</t>
  </si>
  <si>
    <t> Wallis and Futuna</t>
  </si>
  <si>
    <t>the Territory of the Wallis and Futuna Islands</t>
  </si>
  <si>
    <t>WF</t>
  </si>
  <si>
    <t>WLF</t>
  </si>
  <si>
    <t>ISO 3166-2:WF</t>
  </si>
  <si>
    <t>.wf</t>
  </si>
  <si>
    <t>EH</t>
  </si>
  <si>
    <t>ESH</t>
  </si>
  <si>
    <t>ISO 3166-2:EH</t>
  </si>
  <si>
    <t>[ap]</t>
  </si>
  <si>
    <t> Yemen</t>
  </si>
  <si>
    <t>the Republic of Yemen</t>
  </si>
  <si>
    <t>YE</t>
  </si>
  <si>
    <t>YEM</t>
  </si>
  <si>
    <t>ISO 3166-2:YE</t>
  </si>
  <si>
    <t>.ye</t>
  </si>
  <si>
    <t> Zambia</t>
  </si>
  <si>
    <t>the Republic of Zambia</t>
  </si>
  <si>
    <t>ZM</t>
  </si>
  <si>
    <t>ZMB</t>
  </si>
  <si>
    <t>ISO 3166-2:ZM</t>
  </si>
  <si>
    <t>.zm</t>
  </si>
  <si>
    <t> Zimbabwe</t>
  </si>
  <si>
    <t>the Republic of Zimbabwe</t>
  </si>
  <si>
    <t>ZW</t>
  </si>
  <si>
    <t>ZWE</t>
  </si>
  <si>
    <t>ISO 3166-2:ZW</t>
  </si>
  <si>
    <t>.zw</t>
  </si>
  <si>
    <t>ISO 3166[1]</t>
  </si>
  <si>
    <t>Official state name[6][a]</t>
  </si>
  <si>
    <t>ISO 3166-2[3] subdivision codes link</t>
  </si>
  <si>
    <t>the Islamic Republic of Afghanistan[b]</t>
  </si>
  <si>
    <t>Åland[c][d]</t>
  </si>
  <si>
    <t>American Samoa[c]</t>
  </si>
  <si>
    <t>Anguilla[c]</t>
  </si>
  <si>
    <t> Antarctica[e]</t>
  </si>
  <si>
    <t>Antarctica[c]</t>
  </si>
  <si>
    <t>Antigua and Barbuda[c]</t>
  </si>
  <si>
    <t>the Country of Aruba[c]</t>
  </si>
  <si>
    <t> Australia[f]</t>
  </si>
  <si>
    <t>the Commonwealth of Australia[c]</t>
  </si>
  <si>
    <t>Barbados[c]</t>
  </si>
  <si>
    <t>Belize[c]</t>
  </si>
  <si>
    <t>Bermuda[c]</t>
  </si>
  <si>
    <t>Bonaire, Sint Eustatius and Saba[c][d]</t>
  </si>
  <si>
    <t>.nl[g]</t>
  </si>
  <si>
    <t>Bosnia and Herzegovina[c]</t>
  </si>
  <si>
    <t>Bouvet Island[c]</t>
  </si>
  <si>
    <t>the British Indian Ocean Territory[c]</t>
  </si>
  <si>
    <t> Brunei Darussalam[i]</t>
  </si>
  <si>
    <t>Brunei Darussalam[c]</t>
  </si>
  <si>
    <t>Burkina Faso[c]</t>
  </si>
  <si>
    <t> Cabo Verde[j]</t>
  </si>
  <si>
    <t>Canada[c]</t>
  </si>
  <si>
    <t>the Cayman Islands[c]</t>
  </si>
  <si>
    <t>the Territory of Christmas Island[c]</t>
  </si>
  <si>
    <t>the Territory of Cocos (Keeling) Islands[c]</t>
  </si>
  <si>
    <t> Congo (the)[k]</t>
  </si>
  <si>
    <t>the Cook Islands[c]</t>
  </si>
  <si>
    <t> Côte d'Ivoire[l]</t>
  </si>
  <si>
    <t>the Country of Curaçao[c]</t>
  </si>
  <si>
    <t> Czechia[m]</t>
  </si>
  <si>
    <t> Eswatini[n]</t>
  </si>
  <si>
    <t> Falkland Islands (the) [Malvinas][o]</t>
  </si>
  <si>
    <t>the Falkland Islands[c][d]</t>
  </si>
  <si>
    <t>the Faroe Islands[c]</t>
  </si>
  <si>
    <t> France[p]</t>
  </si>
  <si>
    <t>Guyane[c][d]</t>
  </si>
  <si>
    <t>Overseas Lands of French Polynesia[c][d]</t>
  </si>
  <si>
    <t> French Southern Territories (the)[q]</t>
  </si>
  <si>
    <t>the French Southern and Antarctic Lands[c]</t>
  </si>
  <si>
    <t>Georgia[c]</t>
  </si>
  <si>
    <t>Gibraltar[c]</t>
  </si>
  <si>
    <t>Greenland[c]</t>
  </si>
  <si>
    <t>Grenada[c]</t>
  </si>
  <si>
    <t>Guadeloupe[c][d]</t>
  </si>
  <si>
    <t>Guam[c]</t>
  </si>
  <si>
    <t>the Bailiwick of Guernsey[c]</t>
  </si>
  <si>
    <t>the Territory of Heard Island and McDonald Islands[c]</t>
  </si>
  <si>
    <t> Holy See (the)[r]</t>
  </si>
  <si>
    <t>the Holy See[c]</t>
  </si>
  <si>
    <t>the Hong Kong Special Administrative Region of China[10]</t>
  </si>
  <si>
    <t>Hungary[c]</t>
  </si>
  <si>
    <t>Iceland[c]</t>
  </si>
  <si>
    <t> Iran (Islamic Republic of)[s]</t>
  </si>
  <si>
    <t>Ireland[c]</t>
  </si>
  <si>
    <t>the Isle of Man[c]</t>
  </si>
  <si>
    <t>Jamaica[c]</t>
  </si>
  <si>
    <t>Japan[c]</t>
  </si>
  <si>
    <t>the Bailiwick of Jersey[c]</t>
  </si>
  <si>
    <t> Korea (the Democratic People's Republic of)[t]</t>
  </si>
  <si>
    <t> Korea (the Republic of)[u]</t>
  </si>
  <si>
    <t> Lao People's Democratic Republic (the)[v]</t>
  </si>
  <si>
    <t> Macao[w]</t>
  </si>
  <si>
    <t>the Macao Special Administrative Region of China[11]</t>
  </si>
  <si>
    <t>Malaysia[c]</t>
  </si>
  <si>
    <t>Martinique[c][d]</t>
  </si>
  <si>
    <t>the Department of Mayotte[c][d]</t>
  </si>
  <si>
    <t>Mongolia[c]</t>
  </si>
  <si>
    <t>Montenegro[c]</t>
  </si>
  <si>
    <t>Montserrat[c]</t>
  </si>
  <si>
    <t> Myanmar[x]</t>
  </si>
  <si>
    <t>the Republic of the Union of Myanmar[d]</t>
  </si>
  <si>
    <t>the Federal Democratic Republic of Nepal[c][d]</t>
  </si>
  <si>
    <t>New Caledonia[c]</t>
  </si>
  <si>
    <t>New Zealand[c]</t>
  </si>
  <si>
    <t>Niue[c]</t>
  </si>
  <si>
    <t>the Territory of Norfolk Island[c]</t>
  </si>
  <si>
    <t> North Macedonia[y]</t>
  </si>
  <si>
    <t>the Republic of North Macedonia[12]</t>
  </si>
  <si>
    <t>the State of Palestine[d]</t>
  </si>
  <si>
    <t> Pitcairn[z]</t>
  </si>
  <si>
    <t>the Pitcairn, Henderson, Ducie and Oeno Islands[c]</t>
  </si>
  <si>
    <t>the Commonwealth of Puerto Rico[c]</t>
  </si>
  <si>
    <t>Réunion[c][d]</t>
  </si>
  <si>
    <t>Romania[c]</t>
  </si>
  <si>
    <t> Russian Federation (the)[aa]</t>
  </si>
  <si>
    <t>the Collectivity of Saint-Barthélemy[c]</t>
  </si>
  <si>
    <t>Saint Helena, Ascension and Tristan da Cunha[c]</t>
  </si>
  <si>
    <t>the Federation of Saint Kitts and Nevis[c]</t>
  </si>
  <si>
    <t>Saint Lucia[c]</t>
  </si>
  <si>
    <t>the Collectivity of Saint-Martin[c]</t>
  </si>
  <si>
    <t>the Overseas Collectivity of Saint-Pierre and Miquelon[c]</t>
  </si>
  <si>
    <t>Saint Vincent and the Grenadines[c]</t>
  </si>
  <si>
    <t>Sint Maarten[c]</t>
  </si>
  <si>
    <t>the Solomon Islands[c]</t>
  </si>
  <si>
    <t>Svalbard and Jan Mayen[c]</t>
  </si>
  <si>
    <t> Syrian Arab Republic (the)[ac]</t>
  </si>
  <si>
    <t>Taiwan Taiwan (Province of China)[ad]</t>
  </si>
  <si>
    <t>the Republic of China[c][d]</t>
  </si>
  <si>
    <t>Disputed[ae]</t>
  </si>
  <si>
    <t> Timor-Leste[af]</t>
  </si>
  <si>
    <t>Tokelau[c]</t>
  </si>
  <si>
    <t> Türkiye[ag]</t>
  </si>
  <si>
    <t>Turkmenistan[c]</t>
  </si>
  <si>
    <t>the Turks and Caicos Islands[c]</t>
  </si>
  <si>
    <t>Tuvalu[c]</t>
  </si>
  <si>
    <t> Ukraine[c]</t>
  </si>
  <si>
    <t> United States Minor Outlying Islands (the)[13][ai]</t>
  </si>
  <si>
    <t>United States Pacific Island Wildlife Refuges,[14] Navassa Island, and Wake Island[c][d]</t>
  </si>
  <si>
    <t> Viet Nam[ak]</t>
  </si>
  <si>
    <t> Virgin Islands (British)[al]</t>
  </si>
  <si>
    <t>the Virgin Islands[d]</t>
  </si>
  <si>
    <t> Virgin Islands (U.S.)[am]</t>
  </si>
  <si>
    <t> Western Sahara[an]</t>
  </si>
  <si>
    <t>the Sahrawi Arab Democratic Republic[c][d]</t>
  </si>
  <si>
    <t>Disputed[ao]</t>
  </si>
  <si>
    <t>Switzerland</t>
  </si>
  <si>
    <t>Costa Rica</t>
  </si>
  <si>
    <t>Spain</t>
  </si>
  <si>
    <t>Country Name of Origi</t>
  </si>
  <si>
    <t> Costa Rica Total</t>
  </si>
  <si>
    <t> Ecuador Total</t>
  </si>
  <si>
    <t>Australia Total</t>
  </si>
  <si>
    <t>Brazil Total</t>
  </si>
  <si>
    <t>Canada Total</t>
  </si>
  <si>
    <t>Chile Total</t>
  </si>
  <si>
    <t>China Total</t>
  </si>
  <si>
    <t>CNMI Total</t>
  </si>
  <si>
    <t>Costa Rica Total</t>
  </si>
  <si>
    <t>FSM Total</t>
  </si>
  <si>
    <t>Japan Total</t>
  </si>
  <si>
    <t>Mexico Total</t>
  </si>
  <si>
    <t>Neatherlands Total</t>
  </si>
  <si>
    <t>New Zealand Total</t>
  </si>
  <si>
    <t>Peru Total</t>
  </si>
  <si>
    <t>South Korea Total</t>
  </si>
  <si>
    <t>Spain Total</t>
  </si>
  <si>
    <t>Switzerland Total</t>
  </si>
  <si>
    <t>Taiwan Total</t>
  </si>
  <si>
    <t>Uraguay Total</t>
  </si>
  <si>
    <t>USA Total</t>
  </si>
  <si>
    <t>Count of Document No.</t>
  </si>
  <si>
    <t>International</t>
  </si>
  <si>
    <t>Domestic</t>
  </si>
  <si>
    <t>Origin Type</t>
  </si>
  <si>
    <t>Values</t>
  </si>
  <si>
    <t>Total Sum of Total Weight Imported (kg)</t>
  </si>
  <si>
    <t>Total Sum of Value ($)</t>
  </si>
  <si>
    <t>Nov-24 Fresh Produce Imports: International Vs Domestic</t>
  </si>
  <si>
    <t>Nov-24 Fresh Produce Imports: By Type</t>
  </si>
  <si>
    <t>Nov-24 Fresh Produce Imports:By Origin and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</si>
</sst>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001D35"/>
      <name val="Times New Roman"/>
      <family val="1"/>
    </font>
    <font>
      <sz val="11"/>
      <name val="Calibri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b/>
      <sz val="14"/>
      <color rgb="FF001D35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Docs-Calibri"/>
    </font>
    <font>
      <sz val="11"/>
      <color rgb="FF000000"/>
      <name val="&quot;Times New Roman&quot;"/>
    </font>
    <font>
      <sz val="12"/>
      <color rgb="FF222222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  <font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2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00FF00"/>
        <bgColor rgb="FF00FF00"/>
      </patternFill>
    </fill>
    <fill>
      <patternFill patternType="solid">
        <fgColor rgb="FFB4A7D6"/>
        <bgColor rgb="FFB4A7D6"/>
      </patternFill>
    </fill>
    <fill>
      <patternFill patternType="solid">
        <fgColor rgb="FFB6D7A8"/>
        <bgColor rgb="FFB6D7A8"/>
      </patternFill>
    </fill>
    <fill>
      <patternFill patternType="solid">
        <fgColor rgb="FFEAD1DC"/>
        <bgColor rgb="FFEAD1DC"/>
      </patternFill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  <fill>
      <patternFill patternType="solid">
        <fgColor rgb="FFC27BA0"/>
        <bgColor rgb="FFC27BA0"/>
      </patternFill>
    </fill>
    <fill>
      <patternFill patternType="solid">
        <fgColor rgb="FF93C47D"/>
        <bgColor rgb="FF93C47D"/>
      </patternFill>
    </fill>
    <fill>
      <patternFill patternType="solid">
        <fgColor rgb="FFA4C2F4"/>
        <bgColor rgb="FFA4C2F4"/>
      </patternFill>
    </fill>
    <fill>
      <patternFill patternType="solid">
        <fgColor rgb="FFFFFF00"/>
        <bgColor rgb="FFFFFF00"/>
      </patternFill>
    </fill>
    <fill>
      <patternFill patternType="solid">
        <fgColor rgb="FF6AA84F"/>
        <bgColor rgb="FF6AA84F"/>
      </patternFill>
    </fill>
    <fill>
      <patternFill patternType="solid">
        <fgColor rgb="FFF4CCCC"/>
        <bgColor rgb="FFF4CCCC"/>
      </patternFill>
    </fill>
    <fill>
      <patternFill patternType="solid">
        <fgColor rgb="FFD9D2E9"/>
        <bgColor rgb="FFD9D2E9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E6B8AF"/>
        <bgColor rgb="FFE6B8AF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9FC5E8"/>
        <bgColor rgb="FF9FC5E8"/>
      </patternFill>
    </fill>
    <fill>
      <patternFill patternType="solid">
        <fgColor rgb="FFD0E0E3"/>
        <bgColor rgb="FFD0E0E3"/>
      </patternFill>
    </fill>
    <fill>
      <patternFill patternType="solid">
        <fgColor rgb="FFF6B26B"/>
        <bgColor rgb="FFF6B26B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2" fillId="2" borderId="4" xfId="0" applyFont="1" applyFill="1" applyBorder="1"/>
    <xf numFmtId="0" fontId="5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left"/>
    </xf>
    <xf numFmtId="0" fontId="7" fillId="0" borderId="11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/>
    </xf>
    <xf numFmtId="49" fontId="2" fillId="4" borderId="5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164" fontId="2" fillId="6" borderId="14" xfId="0" applyNumberFormat="1" applyFont="1" applyFill="1" applyBorder="1" applyAlignment="1">
      <alignment horizontal="right"/>
    </xf>
    <xf numFmtId="0" fontId="2" fillId="7" borderId="14" xfId="0" applyFont="1" applyFill="1" applyBorder="1" applyAlignment="1">
      <alignment horizontal="left"/>
    </xf>
    <xf numFmtId="0" fontId="4" fillId="2" borderId="0" xfId="0" applyFont="1" applyFill="1"/>
    <xf numFmtId="0" fontId="9" fillId="2" borderId="0" xfId="0" applyFont="1" applyFill="1"/>
    <xf numFmtId="49" fontId="2" fillId="3" borderId="5" xfId="0" applyNumberFormat="1" applyFont="1" applyFill="1" applyBorder="1" applyAlignment="1">
      <alignment horizontal="left"/>
    </xf>
    <xf numFmtId="0" fontId="2" fillId="8" borderId="5" xfId="0" applyFont="1" applyFill="1" applyBorder="1" applyAlignment="1">
      <alignment horizontal="left"/>
    </xf>
    <xf numFmtId="0" fontId="2" fillId="8" borderId="5" xfId="0" applyFont="1" applyFill="1" applyBorder="1"/>
    <xf numFmtId="0" fontId="2" fillId="8" borderId="14" xfId="0" applyFont="1" applyFill="1" applyBorder="1"/>
    <xf numFmtId="0" fontId="2" fillId="3" borderId="5" xfId="0" applyFont="1" applyFill="1" applyBorder="1"/>
    <xf numFmtId="0" fontId="2" fillId="3" borderId="14" xfId="0" applyFont="1" applyFill="1" applyBorder="1"/>
    <xf numFmtId="0" fontId="2" fillId="0" borderId="14" xfId="0" applyFont="1" applyBorder="1" applyAlignment="1">
      <alignment horizontal="left"/>
    </xf>
    <xf numFmtId="49" fontId="2" fillId="3" borderId="5" xfId="0" applyNumberFormat="1" applyFont="1" applyFill="1" applyBorder="1"/>
    <xf numFmtId="49" fontId="2" fillId="8" borderId="5" xfId="0" applyNumberFormat="1" applyFont="1" applyFill="1" applyBorder="1"/>
    <xf numFmtId="49" fontId="2" fillId="8" borderId="5" xfId="0" applyNumberFormat="1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0" fontId="2" fillId="0" borderId="6" xfId="0" applyFont="1" applyBorder="1"/>
    <xf numFmtId="0" fontId="2" fillId="2" borderId="6" xfId="0" applyFont="1" applyFill="1" applyBorder="1" applyAlignment="1">
      <alignment horizontal="left"/>
    </xf>
    <xf numFmtId="0" fontId="2" fillId="7" borderId="0" xfId="0" applyFont="1" applyFill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49" fontId="2" fillId="3" borderId="6" xfId="0" applyNumberFormat="1" applyFont="1" applyFill="1" applyBorder="1"/>
    <xf numFmtId="0" fontId="2" fillId="3" borderId="6" xfId="0" applyFont="1" applyFill="1" applyBorder="1"/>
    <xf numFmtId="0" fontId="2" fillId="3" borderId="6" xfId="0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left"/>
    </xf>
    <xf numFmtId="0" fontId="2" fillId="3" borderId="0" xfId="0" applyFont="1" applyFill="1"/>
    <xf numFmtId="0" fontId="2" fillId="2" borderId="0" xfId="0" applyFont="1" applyFill="1" applyAlignment="1">
      <alignment horizontal="left"/>
    </xf>
    <xf numFmtId="0" fontId="2" fillId="7" borderId="0" xfId="0" applyFont="1" applyFill="1"/>
    <xf numFmtId="0" fontId="2" fillId="2" borderId="0" xfId="0" applyFont="1" applyFill="1"/>
    <xf numFmtId="0" fontId="2" fillId="9" borderId="0" xfId="0" applyFont="1" applyFill="1" applyAlignment="1">
      <alignment horizontal="left"/>
    </xf>
    <xf numFmtId="0" fontId="2" fillId="9" borderId="0" xfId="0" applyFont="1" applyFill="1"/>
    <xf numFmtId="0" fontId="3" fillId="2" borderId="0" xfId="0" applyFont="1" applyFill="1"/>
    <xf numFmtId="164" fontId="2" fillId="6" borderId="6" xfId="0" applyNumberFormat="1" applyFont="1" applyFill="1" applyBorder="1" applyAlignment="1">
      <alignment horizontal="right"/>
    </xf>
    <xf numFmtId="49" fontId="2" fillId="3" borderId="14" xfId="0" applyNumberFormat="1" applyFont="1" applyFill="1" applyBorder="1" applyAlignment="1">
      <alignment horizontal="left"/>
    </xf>
    <xf numFmtId="0" fontId="2" fillId="7" borderId="0" xfId="0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0" fontId="2" fillId="8" borderId="14" xfId="0" applyFont="1" applyFill="1" applyBorder="1" applyAlignment="1">
      <alignment horizontal="left"/>
    </xf>
    <xf numFmtId="49" fontId="2" fillId="8" borderId="14" xfId="0" applyNumberFormat="1" applyFont="1" applyFill="1" applyBorder="1" applyAlignment="1">
      <alignment horizontal="left"/>
    </xf>
    <xf numFmtId="49" fontId="2" fillId="7" borderId="0" xfId="0" applyNumberFormat="1" applyFont="1" applyFill="1" applyAlignment="1">
      <alignment horizontal="center"/>
    </xf>
    <xf numFmtId="49" fontId="2" fillId="7" borderId="0" xfId="0" applyNumberFormat="1" applyFont="1" applyFill="1"/>
    <xf numFmtId="49" fontId="2" fillId="9" borderId="0" xfId="0" applyNumberFormat="1" applyFont="1" applyFill="1" applyAlignment="1">
      <alignment horizontal="center"/>
    </xf>
    <xf numFmtId="0" fontId="2" fillId="8" borderId="6" xfId="0" applyFont="1" applyFill="1" applyBorder="1" applyAlignment="1">
      <alignment horizontal="left"/>
    </xf>
    <xf numFmtId="49" fontId="2" fillId="8" borderId="6" xfId="0" applyNumberFormat="1" applyFont="1" applyFill="1" applyBorder="1" applyAlignment="1">
      <alignment horizontal="left"/>
    </xf>
    <xf numFmtId="0" fontId="2" fillId="8" borderId="0" xfId="0" applyFont="1" applyFill="1"/>
    <xf numFmtId="49" fontId="2" fillId="4" borderId="14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8" borderId="0" xfId="0" applyFont="1" applyFill="1" applyAlignment="1">
      <alignment horizontal="left"/>
    </xf>
    <xf numFmtId="49" fontId="2" fillId="8" borderId="0" xfId="0" applyNumberFormat="1" applyFont="1" applyFill="1"/>
    <xf numFmtId="0" fontId="2" fillId="8" borderId="6" xfId="0" applyFont="1" applyFill="1" applyBorder="1"/>
    <xf numFmtId="0" fontId="9" fillId="0" borderId="0" xfId="0" applyFont="1"/>
    <xf numFmtId="49" fontId="2" fillId="8" borderId="6" xfId="0" applyNumberFormat="1" applyFont="1" applyFill="1" applyBorder="1"/>
    <xf numFmtId="0" fontId="2" fillId="10" borderId="0" xfId="0" applyFont="1" applyFill="1" applyAlignment="1">
      <alignment horizontal="center"/>
    </xf>
    <xf numFmtId="164" fontId="2" fillId="11" borderId="0" xfId="0" applyNumberFormat="1" applyFont="1" applyFill="1" applyAlignment="1">
      <alignment horizontal="right"/>
    </xf>
    <xf numFmtId="49" fontId="2" fillId="4" borderId="6" xfId="0" applyNumberFormat="1" applyFont="1" applyFill="1" applyBorder="1" applyAlignment="1">
      <alignment horizontal="center"/>
    </xf>
    <xf numFmtId="0" fontId="2" fillId="9" borderId="6" xfId="0" applyFont="1" applyFill="1" applyBorder="1" applyAlignment="1">
      <alignment horizontal="left"/>
    </xf>
    <xf numFmtId="0" fontId="2" fillId="9" borderId="0" xfId="0" applyFont="1" applyFill="1" applyAlignment="1">
      <alignment horizontal="center"/>
    </xf>
    <xf numFmtId="164" fontId="2" fillId="9" borderId="0" xfId="0" applyNumberFormat="1" applyFont="1" applyFill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164" fontId="7" fillId="0" borderId="0" xfId="0" applyNumberFormat="1" applyFont="1" applyAlignment="1">
      <alignment horizontal="right" vertical="center" wrapText="1"/>
    </xf>
    <xf numFmtId="0" fontId="12" fillId="0" borderId="11" xfId="0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left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/>
    </xf>
    <xf numFmtId="0" fontId="2" fillId="12" borderId="11" xfId="0" applyFont="1" applyFill="1" applyBorder="1"/>
    <xf numFmtId="49" fontId="2" fillId="12" borderId="11" xfId="0" applyNumberFormat="1" applyFont="1" applyFill="1" applyBorder="1" applyAlignment="1">
      <alignment horizontal="left"/>
    </xf>
    <xf numFmtId="49" fontId="2" fillId="12" borderId="11" xfId="0" applyNumberFormat="1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164" fontId="2" fillId="12" borderId="13" xfId="0" applyNumberFormat="1" applyFont="1" applyFill="1" applyBorder="1" applyAlignment="1">
      <alignment horizontal="right"/>
    </xf>
    <xf numFmtId="0" fontId="2" fillId="12" borderId="4" xfId="0" applyFont="1" applyFill="1" applyBorder="1"/>
    <xf numFmtId="49" fontId="2" fillId="2" borderId="4" xfId="0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2" fillId="13" borderId="4" xfId="0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14" xfId="0" applyFont="1" applyBorder="1"/>
    <xf numFmtId="0" fontId="2" fillId="0" borderId="5" xfId="0" applyFont="1" applyBorder="1"/>
    <xf numFmtId="49" fontId="2" fillId="0" borderId="5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13" borderId="14" xfId="0" applyNumberFormat="1" applyFont="1" applyFill="1" applyBorder="1" applyAlignment="1">
      <alignment horizontal="right"/>
    </xf>
    <xf numFmtId="0" fontId="4" fillId="0" borderId="14" xfId="0" applyFont="1" applyBorder="1" applyAlignment="1">
      <alignment horizontal="left"/>
    </xf>
    <xf numFmtId="0" fontId="2" fillId="0" borderId="4" xfId="0" applyFont="1" applyBorder="1"/>
    <xf numFmtId="49" fontId="2" fillId="0" borderId="4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2" borderId="4" xfId="0" applyNumberFormat="1" applyFont="1" applyFill="1" applyBorder="1"/>
    <xf numFmtId="0" fontId="7" fillId="2" borderId="4" xfId="0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4" fontId="7" fillId="13" borderId="4" xfId="0" applyNumberFormat="1" applyFont="1" applyFill="1" applyBorder="1" applyAlignment="1">
      <alignment horizontal="right" vertical="center" wrapText="1"/>
    </xf>
    <xf numFmtId="0" fontId="13" fillId="2" borderId="9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left"/>
    </xf>
    <xf numFmtId="0" fontId="15" fillId="2" borderId="4" xfId="0" applyFont="1" applyFill="1" applyBorder="1" applyAlignment="1">
      <alignment vertical="center" wrapText="1"/>
    </xf>
    <xf numFmtId="0" fontId="2" fillId="14" borderId="0" xfId="0" applyFont="1" applyFill="1"/>
    <xf numFmtId="49" fontId="2" fillId="14" borderId="0" xfId="0" applyNumberFormat="1" applyFont="1" applyFill="1" applyAlignment="1">
      <alignment horizontal="left"/>
    </xf>
    <xf numFmtId="49" fontId="2" fillId="14" borderId="0" xfId="0" applyNumberFormat="1" applyFont="1" applyFill="1" applyAlignment="1">
      <alignment horizontal="center"/>
    </xf>
    <xf numFmtId="0" fontId="2" fillId="14" borderId="0" xfId="0" applyFont="1" applyFill="1" applyAlignment="1">
      <alignment horizontal="center"/>
    </xf>
    <xf numFmtId="164" fontId="2" fillId="14" borderId="0" xfId="0" applyNumberFormat="1" applyFont="1" applyFill="1" applyAlignment="1">
      <alignment horizontal="right"/>
    </xf>
    <xf numFmtId="0" fontId="2" fillId="15" borderId="4" xfId="0" applyFont="1" applyFill="1" applyBorder="1"/>
    <xf numFmtId="49" fontId="9" fillId="15" borderId="4" xfId="0" applyNumberFormat="1" applyFont="1" applyFill="1" applyBorder="1"/>
    <xf numFmtId="0" fontId="2" fillId="15" borderId="4" xfId="0" applyFont="1" applyFill="1" applyBorder="1" applyAlignment="1">
      <alignment wrapText="1"/>
    </xf>
    <xf numFmtId="164" fontId="2" fillId="15" borderId="4" xfId="0" applyNumberFormat="1" applyFont="1" applyFill="1" applyBorder="1" applyAlignment="1">
      <alignment horizontal="right"/>
    </xf>
    <xf numFmtId="164" fontId="2" fillId="2" borderId="4" xfId="0" applyNumberFormat="1" applyFont="1" applyFill="1" applyBorder="1"/>
    <xf numFmtId="0" fontId="9" fillId="2" borderId="4" xfId="0" applyFont="1" applyFill="1" applyBorder="1"/>
    <xf numFmtId="0" fontId="2" fillId="7" borderId="4" xfId="0" applyFont="1" applyFill="1" applyBorder="1"/>
    <xf numFmtId="49" fontId="9" fillId="7" borderId="4" xfId="0" applyNumberFormat="1" applyFont="1" applyFill="1" applyBorder="1"/>
    <xf numFmtId="164" fontId="2" fillId="7" borderId="4" xfId="0" applyNumberFormat="1" applyFont="1" applyFill="1" applyBorder="1" applyAlignment="1">
      <alignment horizontal="right"/>
    </xf>
    <xf numFmtId="0" fontId="9" fillId="0" borderId="4" xfId="0" applyFont="1" applyBorder="1"/>
    <xf numFmtId="0" fontId="2" fillId="16" borderId="4" xfId="0" applyFont="1" applyFill="1" applyBorder="1"/>
    <xf numFmtId="49" fontId="9" fillId="16" borderId="4" xfId="0" applyNumberFormat="1" applyFont="1" applyFill="1" applyBorder="1"/>
    <xf numFmtId="164" fontId="2" fillId="16" borderId="4" xfId="0" applyNumberFormat="1" applyFont="1" applyFill="1" applyBorder="1" applyAlignment="1">
      <alignment horizontal="right"/>
    </xf>
    <xf numFmtId="0" fontId="2" fillId="6" borderId="4" xfId="0" applyFont="1" applyFill="1" applyBorder="1"/>
    <xf numFmtId="49" fontId="9" fillId="6" borderId="4" xfId="0" applyNumberFormat="1" applyFont="1" applyFill="1" applyBorder="1"/>
    <xf numFmtId="164" fontId="2" fillId="6" borderId="4" xfId="0" applyNumberFormat="1" applyFont="1" applyFill="1" applyBorder="1" applyAlignment="1">
      <alignment horizontal="right"/>
    </xf>
    <xf numFmtId="0" fontId="2" fillId="17" borderId="4" xfId="0" applyFont="1" applyFill="1" applyBorder="1" applyAlignment="1">
      <alignment wrapText="1"/>
    </xf>
    <xf numFmtId="49" fontId="9" fillId="17" borderId="4" xfId="0" applyNumberFormat="1" applyFont="1" applyFill="1" applyBorder="1"/>
    <xf numFmtId="0" fontId="2" fillId="17" borderId="4" xfId="0" applyFont="1" applyFill="1" applyBorder="1"/>
    <xf numFmtId="164" fontId="2" fillId="17" borderId="4" xfId="0" applyNumberFormat="1" applyFont="1" applyFill="1" applyBorder="1" applyAlignment="1">
      <alignment horizontal="right"/>
    </xf>
    <xf numFmtId="0" fontId="2" fillId="18" borderId="4" xfId="0" applyFont="1" applyFill="1" applyBorder="1"/>
    <xf numFmtId="49" fontId="9" fillId="18" borderId="4" xfId="0" applyNumberFormat="1" applyFont="1" applyFill="1" applyBorder="1"/>
    <xf numFmtId="164" fontId="2" fillId="18" borderId="4" xfId="0" applyNumberFormat="1" applyFont="1" applyFill="1" applyBorder="1" applyAlignment="1">
      <alignment horizontal="right"/>
    </xf>
    <xf numFmtId="0" fontId="2" fillId="19" borderId="4" xfId="0" applyFont="1" applyFill="1" applyBorder="1" applyAlignment="1">
      <alignment wrapText="1"/>
    </xf>
    <xf numFmtId="49" fontId="9" fillId="19" borderId="4" xfId="0" applyNumberFormat="1" applyFont="1" applyFill="1" applyBorder="1"/>
    <xf numFmtId="0" fontId="2" fillId="19" borderId="4" xfId="0" applyFont="1" applyFill="1" applyBorder="1"/>
    <xf numFmtId="164" fontId="2" fillId="19" borderId="4" xfId="0" applyNumberFormat="1" applyFont="1" applyFill="1" applyBorder="1" applyAlignment="1">
      <alignment horizontal="right"/>
    </xf>
    <xf numFmtId="0" fontId="3" fillId="2" borderId="4" xfId="0" applyFont="1" applyFill="1" applyBorder="1"/>
    <xf numFmtId="0" fontId="2" fillId="16" borderId="4" xfId="0" applyFont="1" applyFill="1" applyBorder="1" applyAlignment="1">
      <alignment wrapText="1"/>
    </xf>
    <xf numFmtId="0" fontId="2" fillId="20" borderId="4" xfId="0" applyFont="1" applyFill="1" applyBorder="1" applyAlignment="1">
      <alignment wrapText="1"/>
    </xf>
    <xf numFmtId="49" fontId="9" fillId="20" borderId="4" xfId="0" applyNumberFormat="1" applyFont="1" applyFill="1" applyBorder="1"/>
    <xf numFmtId="0" fontId="2" fillId="20" borderId="4" xfId="0" applyFont="1" applyFill="1" applyBorder="1"/>
    <xf numFmtId="164" fontId="2" fillId="20" borderId="4" xfId="0" applyNumberFormat="1" applyFont="1" applyFill="1" applyBorder="1" applyAlignment="1">
      <alignment horizontal="right"/>
    </xf>
    <xf numFmtId="0" fontId="2" fillId="21" borderId="4" xfId="0" applyFont="1" applyFill="1" applyBorder="1"/>
    <xf numFmtId="0" fontId="4" fillId="21" borderId="4" xfId="0" applyFont="1" applyFill="1" applyBorder="1"/>
    <xf numFmtId="49" fontId="9" fillId="21" borderId="4" xfId="0" applyNumberFormat="1" applyFont="1" applyFill="1" applyBorder="1"/>
    <xf numFmtId="164" fontId="2" fillId="21" borderId="4" xfId="0" applyNumberFormat="1" applyFont="1" applyFill="1" applyBorder="1" applyAlignment="1">
      <alignment horizontal="right"/>
    </xf>
    <xf numFmtId="0" fontId="2" fillId="3" borderId="4" xfId="0" applyFont="1" applyFill="1" applyBorder="1"/>
    <xf numFmtId="49" fontId="9" fillId="3" borderId="4" xfId="0" applyNumberFormat="1" applyFont="1" applyFill="1" applyBorder="1"/>
    <xf numFmtId="164" fontId="2" fillId="3" borderId="4" xfId="0" applyNumberFormat="1" applyFont="1" applyFill="1" applyBorder="1" applyAlignment="1">
      <alignment horizontal="right"/>
    </xf>
    <xf numFmtId="0" fontId="2" fillId="22" borderId="4" xfId="0" applyFont="1" applyFill="1" applyBorder="1"/>
    <xf numFmtId="49" fontId="9" fillId="22" borderId="4" xfId="0" applyNumberFormat="1" applyFont="1" applyFill="1" applyBorder="1"/>
    <xf numFmtId="164" fontId="2" fillId="22" borderId="4" xfId="0" applyNumberFormat="1" applyFont="1" applyFill="1" applyBorder="1" applyAlignment="1">
      <alignment horizontal="right"/>
    </xf>
    <xf numFmtId="0" fontId="2" fillId="23" borderId="4" xfId="0" applyFont="1" applyFill="1" applyBorder="1"/>
    <xf numFmtId="49" fontId="9" fillId="23" borderId="4" xfId="0" applyNumberFormat="1" applyFont="1" applyFill="1" applyBorder="1"/>
    <xf numFmtId="164" fontId="2" fillId="23" borderId="4" xfId="0" applyNumberFormat="1" applyFont="1" applyFill="1" applyBorder="1" applyAlignment="1">
      <alignment horizontal="right"/>
    </xf>
    <xf numFmtId="0" fontId="2" fillId="7" borderId="4" xfId="0" applyFont="1" applyFill="1" applyBorder="1" applyAlignment="1">
      <alignment wrapText="1"/>
    </xf>
    <xf numFmtId="164" fontId="2" fillId="7" borderId="4" xfId="0" applyNumberFormat="1" applyFont="1" applyFill="1" applyBorder="1" applyAlignment="1">
      <alignment horizontal="right" wrapText="1"/>
    </xf>
    <xf numFmtId="164" fontId="2" fillId="20" borderId="4" xfId="0" applyNumberFormat="1" applyFont="1" applyFill="1" applyBorder="1" applyAlignment="1">
      <alignment horizontal="right" wrapText="1"/>
    </xf>
    <xf numFmtId="164" fontId="2" fillId="19" borderId="4" xfId="0" applyNumberFormat="1" applyFont="1" applyFill="1" applyBorder="1" applyAlignment="1">
      <alignment horizontal="right" wrapText="1"/>
    </xf>
    <xf numFmtId="0" fontId="2" fillId="24" borderId="4" xfId="0" applyFont="1" applyFill="1" applyBorder="1"/>
    <xf numFmtId="49" fontId="9" fillId="24" borderId="4" xfId="0" applyNumberFormat="1" applyFont="1" applyFill="1" applyBorder="1"/>
    <xf numFmtId="164" fontId="2" fillId="24" borderId="4" xfId="0" applyNumberFormat="1" applyFont="1" applyFill="1" applyBorder="1" applyAlignment="1">
      <alignment horizontal="right"/>
    </xf>
    <xf numFmtId="49" fontId="2" fillId="22" borderId="4" xfId="0" applyNumberFormat="1" applyFont="1" applyFill="1" applyBorder="1" applyAlignment="1">
      <alignment horizontal="left"/>
    </xf>
    <xf numFmtId="49" fontId="2" fillId="22" borderId="4" xfId="0" applyNumberFormat="1" applyFont="1" applyFill="1" applyBorder="1" applyAlignment="1">
      <alignment horizontal="center"/>
    </xf>
    <xf numFmtId="0" fontId="2" fillId="22" borderId="4" xfId="0" applyFont="1" applyFill="1" applyBorder="1" applyAlignment="1">
      <alignment horizontal="center"/>
    </xf>
    <xf numFmtId="49" fontId="2" fillId="16" borderId="4" xfId="0" applyNumberFormat="1" applyFont="1" applyFill="1" applyBorder="1" applyAlignment="1">
      <alignment horizontal="left"/>
    </xf>
    <xf numFmtId="49" fontId="2" fillId="16" borderId="4" xfId="0" applyNumberFormat="1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/>
    </xf>
    <xf numFmtId="0" fontId="2" fillId="8" borderId="4" xfId="0" applyFont="1" applyFill="1" applyBorder="1"/>
    <xf numFmtId="49" fontId="2" fillId="8" borderId="4" xfId="0" applyNumberFormat="1" applyFont="1" applyFill="1" applyBorder="1" applyAlignment="1">
      <alignment horizontal="left"/>
    </xf>
    <xf numFmtId="49" fontId="2" fillId="8" borderId="4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4" fontId="2" fillId="8" borderId="4" xfId="0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right" vertical="center" wrapText="1"/>
    </xf>
    <xf numFmtId="0" fontId="9" fillId="0" borderId="5" xfId="0" applyFont="1" applyBorder="1"/>
    <xf numFmtId="0" fontId="9" fillId="0" borderId="14" xfId="0" applyFont="1" applyBorder="1"/>
    <xf numFmtId="0" fontId="9" fillId="0" borderId="7" xfId="0" applyFont="1" applyBorder="1"/>
    <xf numFmtId="0" fontId="9" fillId="0" borderId="12" xfId="0" applyFont="1" applyBorder="1"/>
    <xf numFmtId="0" fontId="4" fillId="0" borderId="0" xfId="0" applyFont="1"/>
    <xf numFmtId="0" fontId="18" fillId="0" borderId="7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64" fontId="18" fillId="0" borderId="13" xfId="0" applyNumberFormat="1" applyFont="1" applyBorder="1" applyAlignment="1">
      <alignment horizontal="right" vertical="center" wrapText="1"/>
    </xf>
    <xf numFmtId="0" fontId="20" fillId="0" borderId="4" xfId="0" applyFont="1" applyBorder="1" applyAlignment="1">
      <alignment horizontal="left" vertical="center"/>
    </xf>
    <xf numFmtId="0" fontId="17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16" fillId="25" borderId="15" xfId="0" applyFont="1" applyFill="1" applyBorder="1"/>
    <xf numFmtId="16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/>
    <xf numFmtId="0" fontId="6" fillId="0" borderId="3" xfId="0" applyFont="1" applyBorder="1"/>
    <xf numFmtId="0" fontId="5" fillId="0" borderId="5" xfId="0" applyFont="1" applyBorder="1" applyAlignment="1">
      <alignment horizontal="left" vertical="center" wrapText="1"/>
    </xf>
    <xf numFmtId="0" fontId="0" fillId="0" borderId="0" xfId="0"/>
    <xf numFmtId="0" fontId="6" fillId="0" borderId="6" xfId="0" applyFont="1" applyBorder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NumberFormat="1"/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48">
    <dxf>
      <alignment wrapText="1"/>
    </dxf>
    <dxf>
      <alignment wrapText="1"/>
    </dxf>
    <dxf>
      <numFmt numFmtId="4" formatCode="#,##0.00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alignment wrapText="1"/>
    </dxf>
    <dxf>
      <alignment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0" formatCode="General"/>
      <fill>
        <patternFill patternType="solid">
          <fgColor rgb="FFC9DAF8"/>
          <bgColor rgb="FFC9DAF8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rgb="FF000000"/>
        </right>
        <top/>
        <bottom/>
        <vertical/>
        <horizontal/>
      </border>
    </dxf>
    <dxf>
      <numFmt numFmtId="4" formatCode="#,##0.00"/>
    </dxf>
    <dxf>
      <alignment wrapText="1"/>
    </dxf>
    <dxf>
      <alignment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&quot;$&quot;#,##0.00"/>
      <fill>
        <patternFill patternType="solid">
          <fgColor rgb="FF93C47D"/>
          <bgColor rgb="FF93C47D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0" formatCode="General"/>
      <fill>
        <patternFill patternType="solid">
          <fgColor rgb="FFC27BA0"/>
          <bgColor rgb="FFC27BA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rgb="FFC27BA0"/>
          <bgColor rgb="FFC27BA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fill>
        <patternFill patternType="solid">
          <fgColor rgb="FF00FF00"/>
          <bgColor rgb="FF00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rgb="FFC9DAF8"/>
          <bgColor rgb="FFC9DAF8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0" formatCode="General"/>
      <fill>
        <patternFill patternType="solid">
          <fgColor rgb="FFC9DAF8"/>
          <bgColor rgb="FFC9DAF8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rgb="FFC9DAF8"/>
          <bgColor rgb="FFC9DAF8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rgb="FFC9DAF8"/>
          <bgColor rgb="FFC9DAF8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rgb="FFC9DAF8"/>
          <bgColor rgb="FFC9DAF8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rgb="FF000000"/>
        </right>
        <top/>
        <bottom/>
        <vertical/>
        <horizontal/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left" vertical="bottom" textRotation="0" wrapText="0" indent="0" justifyLastLine="0" shrinkToFit="0" readingOrder="0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numFmt numFmtId="4" formatCode="#,##0.00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0</xdr:col>
      <xdr:colOff>808370</xdr:colOff>
      <xdr:row>0</xdr:row>
      <xdr:rowOff>713120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CFEBA7-8215-4DD2-B8F9-D99F2A380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7150"/>
          <a:ext cx="655970" cy="6559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0</xdr:col>
      <xdr:colOff>779795</xdr:colOff>
      <xdr:row>0</xdr:row>
      <xdr:rowOff>770270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CFEBA7-8215-4DD2-B8F9-D99F2A380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4300"/>
          <a:ext cx="655970" cy="6559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770270</xdr:colOff>
      <xdr:row>0</xdr:row>
      <xdr:rowOff>732170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CFEBA7-8215-4DD2-B8F9-D99F2A380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655970" cy="655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</xdr:row>
      <xdr:rowOff>0</xdr:rowOff>
    </xdr:from>
    <xdr:ext cx="0" cy="0"/>
    <xdr:pic>
      <xdr:nvPicPr>
        <xdr:cNvPr id="2" name="image1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390525</xdr:colOff>
      <xdr:row>2</xdr:row>
      <xdr:rowOff>390525</xdr:rowOff>
    </xdr:from>
    <xdr:to>
      <xdr:col>1</xdr:col>
      <xdr:colOff>1046495</xdr:colOff>
      <xdr:row>5</xdr:row>
      <xdr:rowOff>198770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CFEBA7-8215-4DD2-B8F9-D99F2A380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790575"/>
          <a:ext cx="655970" cy="65597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thew Santos" refreshedDate="45883.402126736109" createdVersion="8" refreshedVersion="8" minRefreshableVersion="3" recordCount="1684" xr:uid="{045ECC24-A28C-4D86-9A5E-48C2C7986D2D}">
  <cacheSource type="worksheet">
    <worksheetSource name="Table1"/>
  </cacheSource>
  <cacheFields count="10">
    <cacheField name="Document No." numFmtId="0">
      <sharedItems/>
    </cacheField>
    <cacheField name="Origin " numFmtId="0">
      <sharedItems/>
    </cacheField>
    <cacheField name="Point of Origin" numFmtId="0">
      <sharedItems count="25">
        <s v="US"/>
        <s v="UY"/>
        <s v="MX"/>
        <s v="CA"/>
        <s v="NZ"/>
        <s v="KR"/>
        <s v="MP"/>
        <s v="TW"/>
        <s v="CN"/>
        <s v="AU"/>
        <s v="JP"/>
        <s v="CL"/>
        <s v="CR"/>
        <s v="CHN"/>
        <s v="PER"/>
        <s v="CRI"/>
        <s v="CAN"/>
        <s v="NL"/>
        <s v="BR"/>
        <s v="ES"/>
        <s v="MP , Saipan"/>
        <s v="MP , Tinian"/>
        <s v="FM , Yap"/>
        <s v="EC"/>
        <s v="CH"/>
      </sharedItems>
    </cacheField>
    <cacheField name="Country Name of Origi" numFmtId="0">
      <sharedItems count="21">
        <s v="USA"/>
        <s v="Uraguay"/>
        <s v="Mexico"/>
        <s v="Canada"/>
        <s v="New Zealand"/>
        <s v="South Korea"/>
        <s v="CNMI"/>
        <s v="Taiwan"/>
        <s v="China"/>
        <s v="Australia"/>
        <s v="Japan"/>
        <s v="Chile"/>
        <s v="Costa Rica"/>
        <s v="Peru"/>
        <s v=" Costa Rica"/>
        <s v="Neatherlands"/>
        <s v="Brazil"/>
        <s v="Spain"/>
        <s v="FSM"/>
        <s v=" Ecuador"/>
        <s v="Switzerland"/>
      </sharedItems>
    </cacheField>
    <cacheField name="Origin Type" numFmtId="0">
      <sharedItems count="2">
        <s v="Domestic"/>
        <s v="International"/>
      </sharedItems>
    </cacheField>
    <cacheField name="Produce Type_x000a_(Specify)" numFmtId="0">
      <sharedItems count="120">
        <s v="Asparagus, fresh or chilled"/>
        <s v="Beans, fresh or chilled"/>
        <s v="Broccoli, fresh or chilled"/>
        <s v="Brussels sprouts, fresh or chilled"/>
        <s v="Cucumbers, fresh or chilled"/>
        <s v="Cranberries, fresh"/>
        <s v="Radishes, fresh or chilled"/>
        <s v="Thyme, fresh or chilled"/>
        <s v="Chives, fresh or chilled"/>
        <s v="Tarragon,fresh or chilled"/>
        <s v="Mushrooms, fresh or chilled"/>
        <s v="Tomatoes, fresh or chilled"/>
        <s v="Carrots, fresh or chilled"/>
        <s v="Rosemary, fresh or chilled"/>
        <s v="Oranges, fresh or chilled"/>
        <s v="Cilantro, fresh or chilled"/>
        <s v="Mangoes, fresh"/>
        <s v="Spinach, fresh or chilled"/>
        <s v="Turnips, fresh"/>
        <s v="Tarragon, fresh or chilled"/>
        <s v="Radishes , fresh or chilled"/>
        <s v="Celery, fresh or chilled"/>
        <s v="Leeks and alliaceous vegetables, fresh or chilled"/>
        <s v="Lettuce, fresh or chilled"/>
        <s v="Pepper, fresh or chilled"/>
        <s v="Squash, fresh or chilled"/>
        <s v="Strawberries, fresh"/>
        <s v="Avocados, fresh or chilled"/>
        <s v="Blackberries, fresh"/>
        <s v="Grapes, fresh"/>
        <s v="Papayas, fresh"/>
        <s v="Raspberries, fresh"/>
        <s v="Onion and shallots, fresh or chilled"/>
        <s v="Cauliflower, fresh or chilled"/>
        <s v="Peppers, fresh or chilled"/>
        <s v="Cabbage, fresh or chilled"/>
        <s v="Sweet Corn, fresh or chilled"/>
        <s v="Eggplants, fresh or chilled"/>
        <s v="Blackberries, fresh  "/>
        <s v="Kale, fresh or chilled"/>
        <s v="Blueberries, fresh"/>
        <s v="Endive, fresh or chilled"/>
        <s v="Anise, fresh or chilled"/>
        <s v="Garlic, fresh or chilled"/>
        <s v="Chicory, fresh or chilled"/>
        <s v="Basil, fresh or chilled"/>
        <s v="Mint, fresh or chilled"/>
        <s v="Parsley, fresh or chilled"/>
        <s v="Thyme, fresh or chilled, fresh or chilled"/>
        <s v="Dill, fresh or chilled"/>
        <s v="Oregano, fresh or chilled"/>
        <s v="Sage, fresh or chilled"/>
        <s v="Flowers, fresh or chilled"/>
        <s v="Collard Green, fresh or chilled"/>
        <s v="Perilla Leaves, fresh or chilled"/>
        <s v="Watercress, fresh or chilled"/>
        <s v="Persimmons, fresh"/>
        <s v="Apples, fresh"/>
        <s v="Beets, fresh or chilled"/>
        <s v="Muskmelons, fresh or chilled"/>
        <s v="Sweet Potatoes, fresh"/>
        <s v="Mandarins, fresh or chilled"/>
        <s v="Seaweeds fit for human consumption"/>
        <s v="Yams, fresh"/>
        <s v="Lemons, fresh or chilled"/>
        <s v="Kiwi fruit, fresh"/>
        <s v="Potatoes, fresh or chilled"/>
        <s v="Grapefruit, fresh"/>
        <s v="Tomatillo, fresh or chilled"/>
        <s v="Limes, fresh"/>
        <s v="Bok Choy, fresh or chilled"/>
        <s v="Bananas, fresh"/>
        <s v="Pears, fresh"/>
        <s v="Cantaloupes, fresh"/>
        <s v="Honeydew, fresh"/>
        <s v="Pineapples, fresh"/>
        <s v="Watermelons, fresh"/>
        <s v="Ginger, not crushed or ground"/>
        <s v="Dates, fresh"/>
        <s v="Gooseberries, fresh"/>
        <s v="Peas, fresh or chilled"/>
        <s v="Plums, fresh"/>
        <s v="Pomegranates, fresh"/>
        <s v="Tamarinds, fresh"/>
        <s v="Tangerines, fresh"/>
        <s v="Lotus Root, fresh or chilled"/>
        <s v="Coconuts, whether or not shelled"/>
        <s v="Fennels, fresh or chilled"/>
        <s v="Taro, fresh or chilled"/>
        <s v="Chayote, fresh or chilled"/>
        <s v="Jicama, fresh or chilled"/>
        <s v="Peanuts, not roasted or otherwise cooked"/>
        <s v="Sher Li Hon (mustard)"/>
        <s v="Chrysanthemum, fresh or chilled"/>
        <s v="Yucca, fresh or chilled"/>
        <s v="Other bananas, fresh"/>
        <s v="Guavas, fresh"/>
        <s v="Okra, fresh or chilled"/>
        <s v="Bamboo Shoot . White"/>
        <s v="Calamansi, fresh"/>
        <s v="Plantains, fresh"/>
        <s v="Burdock root, fresh or chilled"/>
        <s v="Pumpkins, fresh or chilled"/>
        <s v="Melons, fresh"/>
        <s v="Jujubes, fresh"/>
        <s v="Peaches, fresh"/>
        <s v="Apricots, fresh"/>
        <s v="Pine nuts, in shell"/>
        <s v="Thymes, fresh or chilled"/>
        <s v="Figs, fresh"/>
        <s v="Cooking Banana, fresh"/>
        <s v="Soursop, fresh"/>
        <s v="Fiji Banana, fresh"/>
        <s v="Eating Banana, fresh"/>
        <s v="Manila Banana, fresh"/>
        <s v="Jack Fruit"/>
        <s v="Betelnut, whole"/>
        <s v="Betel leaf, neither crushed nor ground"/>
        <s v="Apple, fresh" u="1"/>
        <s v=" Cucumbers, fresh or chilled" u="1"/>
      </sharedItems>
    </cacheField>
    <cacheField name="HS Code" numFmtId="49">
      <sharedItems/>
    </cacheField>
    <cacheField name="Total Weight Imported (lbs)" numFmtId="0">
      <sharedItems containsSemiMixedTypes="0" containsString="0" containsNumber="1" minValue="0.4" maxValue="82453"/>
    </cacheField>
    <cacheField name="Total Weight Imported (kg)" numFmtId="0">
      <sharedItems containsSemiMixedTypes="0" containsString="0" containsNumber="1" minValue="0.18143680000000001" maxValue="37400.021176000002"/>
    </cacheField>
    <cacheField name="Value ($)" numFmtId="164">
      <sharedItems containsSemiMixedTypes="0" containsString="0" containsNumber="1" minValue="6" maxValue="75276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4">
  <r>
    <s v="016LAX95121633"/>
    <s v="US"/>
    <x v="0"/>
    <x v="0"/>
    <x v="0"/>
    <x v="0"/>
    <s v="0709.20"/>
    <n v="110"/>
    <n v="49.895119999999999"/>
    <n v="529.76"/>
  </r>
  <r>
    <s v="016LAX95121633"/>
    <s v="US"/>
    <x v="0"/>
    <x v="0"/>
    <x v="0"/>
    <x v="1"/>
    <s v="0708.20"/>
    <n v="35"/>
    <n v="15.875719999999999"/>
    <n v="84.37"/>
  </r>
  <r>
    <s v="016LAX95121633"/>
    <s v="US"/>
    <x v="0"/>
    <x v="0"/>
    <x v="0"/>
    <x v="2"/>
    <s v="0704.90"/>
    <n v="370"/>
    <n v="167.82903999999999"/>
    <n v="570.58000000000004"/>
  </r>
  <r>
    <s v="016LAX95121633"/>
    <s v="US"/>
    <x v="0"/>
    <x v="0"/>
    <x v="0"/>
    <x v="3"/>
    <s v="0704.20"/>
    <n v="50"/>
    <n v="22.679600000000001"/>
    <n v="73.53"/>
  </r>
  <r>
    <s v="016LAX95121633"/>
    <s v="US"/>
    <x v="0"/>
    <x v="0"/>
    <x v="0"/>
    <x v="4"/>
    <s v="0707.00"/>
    <n v="900"/>
    <n v="408.2328"/>
    <n v="847.06"/>
  </r>
  <r>
    <s v="016LAX95121633"/>
    <s v="UY"/>
    <x v="1"/>
    <x v="1"/>
    <x v="1"/>
    <x v="5"/>
    <s v="0810.40"/>
    <n v="99"/>
    <n v="44.905608000000001"/>
    <n v="1009.36"/>
  </r>
  <r>
    <s v="016LAX95121633"/>
    <s v="US , CA"/>
    <x v="0"/>
    <x v="0"/>
    <x v="0"/>
    <x v="6"/>
    <s v="0706.90"/>
    <n v="10"/>
    <n v="4.53592"/>
    <n v="28"/>
  </r>
  <r>
    <s v="016LAX95121633"/>
    <s v="US , CA"/>
    <x v="0"/>
    <x v="0"/>
    <x v="0"/>
    <x v="7"/>
    <s v="0709.99"/>
    <n v="1"/>
    <n v="0.453592"/>
    <n v="7"/>
  </r>
  <r>
    <s v="016LAX95121633"/>
    <s v="US , CA"/>
    <x v="0"/>
    <x v="0"/>
    <x v="0"/>
    <x v="8"/>
    <s v="0703.90"/>
    <n v="1"/>
    <n v="0.453592"/>
    <n v="12.6"/>
  </r>
  <r>
    <s v="016LAX95121633"/>
    <s v="US , CA"/>
    <x v="0"/>
    <x v="0"/>
    <x v="0"/>
    <x v="9"/>
    <s v="0709.99"/>
    <n v="1"/>
    <n v="0.453592"/>
    <n v="11.2"/>
  </r>
  <r>
    <s v="016LAX95121633"/>
    <s v="US , CA"/>
    <x v="0"/>
    <x v="0"/>
    <x v="0"/>
    <x v="10"/>
    <s v="0709.51"/>
    <n v="5.25"/>
    <n v="2.3813580000000001"/>
    <n v="68.599999999999994"/>
  </r>
  <r>
    <s v="016LAX95121633"/>
    <s v="US , CA"/>
    <x v="0"/>
    <x v="0"/>
    <x v="0"/>
    <x v="11"/>
    <s v="0702.00"/>
    <n v="30"/>
    <n v="13.607759999999999"/>
    <n v="151.19999999999999"/>
  </r>
  <r>
    <s v="016LAX95121633"/>
    <s v="US , CA"/>
    <x v="0"/>
    <x v="0"/>
    <x v="0"/>
    <x v="12"/>
    <s v="0706.10"/>
    <n v="50"/>
    <n v="22.679600000000001"/>
    <n v="224"/>
  </r>
  <r>
    <s v="016LAX95121633"/>
    <s v="US , CA"/>
    <x v="0"/>
    <x v="0"/>
    <x v="0"/>
    <x v="7"/>
    <s v="0709.99"/>
    <n v="2"/>
    <n v="0.90718399999999999"/>
    <n v="14"/>
  </r>
  <r>
    <s v="016LAX95121633"/>
    <s v="US , CA"/>
    <x v="0"/>
    <x v="0"/>
    <x v="0"/>
    <x v="13"/>
    <s v="0709.99"/>
    <n v="3"/>
    <n v="1.360776"/>
    <n v="16.8"/>
  </r>
  <r>
    <s v="016LAX95121633"/>
    <s v="US , CA"/>
    <x v="0"/>
    <x v="0"/>
    <x v="0"/>
    <x v="14"/>
    <s v="0805.10"/>
    <n v="40"/>
    <n v="18.14368"/>
    <n v="63"/>
  </r>
  <r>
    <s v="016LAX95121633"/>
    <s v="US , CA"/>
    <x v="0"/>
    <x v="0"/>
    <x v="0"/>
    <x v="8"/>
    <s v="0703.90"/>
    <n v="2"/>
    <n v="0.90718399999999999"/>
    <n v="25.2"/>
  </r>
  <r>
    <s v="016LAX95121655"/>
    <s v="MX"/>
    <x v="2"/>
    <x v="2"/>
    <x v="1"/>
    <x v="15"/>
    <s v="0709.99"/>
    <n v="10"/>
    <n v="4.53592"/>
    <n v="18.82"/>
  </r>
  <r>
    <s v="016LAX95121655"/>
    <s v="MX"/>
    <x v="2"/>
    <x v="2"/>
    <x v="1"/>
    <x v="16"/>
    <s v="0804.50"/>
    <n v="240"/>
    <n v="108.86207999999999"/>
    <n v="317.64999999999998"/>
  </r>
  <r>
    <s v="016LAX95121655"/>
    <s v="US"/>
    <x v="0"/>
    <x v="0"/>
    <x v="0"/>
    <x v="0"/>
    <s v="0709.20"/>
    <n v="33"/>
    <n v="14.968536"/>
    <n v="163.9"/>
  </r>
  <r>
    <s v="016LAX95121655"/>
    <s v="US"/>
    <x v="0"/>
    <x v="0"/>
    <x v="0"/>
    <x v="2"/>
    <s v="0704.90"/>
    <n v="120"/>
    <n v="54.431039999999996"/>
    <n v="176.47"/>
  </r>
  <r>
    <s v="016LAX95121655"/>
    <s v="US"/>
    <x v="0"/>
    <x v="0"/>
    <x v="0"/>
    <x v="17"/>
    <s v="0709.70"/>
    <n v="100"/>
    <n v="45.359200000000001"/>
    <n v="134.12"/>
  </r>
  <r>
    <s v="016LAX95121655"/>
    <s v="US"/>
    <x v="0"/>
    <x v="0"/>
    <x v="0"/>
    <x v="18"/>
    <s v="0706.10"/>
    <n v="25"/>
    <n v="11.3398"/>
    <n v="24.71"/>
  </r>
  <r>
    <s v="016LAX95121655"/>
    <s v="US , CA"/>
    <x v="0"/>
    <x v="0"/>
    <x v="0"/>
    <x v="7"/>
    <s v="0709.99"/>
    <n v="2"/>
    <n v="0.90718399999999999"/>
    <n v="14"/>
  </r>
  <r>
    <s v="016LAX95121655"/>
    <s v="US , CA"/>
    <x v="0"/>
    <x v="0"/>
    <x v="0"/>
    <x v="19"/>
    <s v="0709.99"/>
    <n v="1"/>
    <n v="0.453592"/>
    <n v="11.2"/>
  </r>
  <r>
    <s v="016LAX95121655"/>
    <s v="US , CA"/>
    <x v="0"/>
    <x v="0"/>
    <x v="0"/>
    <x v="20"/>
    <s v="0706.90"/>
    <n v="10"/>
    <n v="4.53592"/>
    <n v="28"/>
  </r>
  <r>
    <s v="016LAX95121655"/>
    <s v="US , CA"/>
    <x v="0"/>
    <x v="0"/>
    <x v="0"/>
    <x v="13"/>
    <s v="0709.99"/>
    <n v="4"/>
    <n v="1.814368"/>
    <n v="30.8"/>
  </r>
  <r>
    <s v="016LAX95121655"/>
    <s v="US , CA"/>
    <x v="0"/>
    <x v="0"/>
    <x v="0"/>
    <x v="8"/>
    <s v="0703.90"/>
    <n v="2"/>
    <n v="0.90718399999999999"/>
    <n v="25.2"/>
  </r>
  <r>
    <s v="016LAX95121655"/>
    <s v="US , CA"/>
    <x v="0"/>
    <x v="0"/>
    <x v="0"/>
    <x v="11"/>
    <s v="0702.00"/>
    <n v="10"/>
    <n v="4.53592"/>
    <n v="50.4"/>
  </r>
  <r>
    <s v="016LAX95121655"/>
    <s v="US , CA"/>
    <x v="0"/>
    <x v="0"/>
    <x v="0"/>
    <x v="12"/>
    <s v="0706.10"/>
    <n v="45"/>
    <n v="20.411639999999998"/>
    <n v="207.2"/>
  </r>
  <r>
    <s v="016SFO27930862"/>
    <s v="US , CA"/>
    <x v="0"/>
    <x v="0"/>
    <x v="0"/>
    <x v="1"/>
    <s v="0708.20"/>
    <n v="40"/>
    <n v="18.14368"/>
    <n v="40.299999999999997"/>
  </r>
  <r>
    <s v="016SFO27930862"/>
    <s v="US , CA"/>
    <x v="0"/>
    <x v="0"/>
    <x v="0"/>
    <x v="2"/>
    <s v="0704.90"/>
    <n v="350"/>
    <n v="158.75720000000001"/>
    <n v="390.6"/>
  </r>
  <r>
    <s v="016SFO27930862"/>
    <s v="US , CA"/>
    <x v="0"/>
    <x v="0"/>
    <x v="0"/>
    <x v="21"/>
    <s v="0709.40"/>
    <n v="330"/>
    <n v="149.68536"/>
    <n v="149.1"/>
  </r>
  <r>
    <s v="016SFO27930862"/>
    <s v="US , CA"/>
    <x v="0"/>
    <x v="0"/>
    <x v="0"/>
    <x v="22"/>
    <s v="0703.90"/>
    <n v="18"/>
    <n v="8.1646560000000008"/>
    <n v="28.05"/>
  </r>
  <r>
    <s v="016SFO27930862"/>
    <s v="US , CA"/>
    <x v="0"/>
    <x v="0"/>
    <x v="0"/>
    <x v="23"/>
    <s v="0705.11"/>
    <n v="770"/>
    <n v="349.26583999999997"/>
    <n v="548.9"/>
  </r>
  <r>
    <s v="016SFO27930862"/>
    <s v="US , CA"/>
    <x v="0"/>
    <x v="0"/>
    <x v="0"/>
    <x v="2"/>
    <s v="0704.90"/>
    <n v="40"/>
    <n v="18.14368"/>
    <n v="37.9"/>
  </r>
  <r>
    <s v="016SFO27930862"/>
    <s v="US , CA"/>
    <x v="0"/>
    <x v="0"/>
    <x v="0"/>
    <x v="24"/>
    <s v="0709.60"/>
    <n v="432"/>
    <n v="195.95174399999999"/>
    <n v="483.3"/>
  </r>
  <r>
    <s v="016SFO27930862"/>
    <s v="US , CA"/>
    <x v="0"/>
    <x v="0"/>
    <x v="0"/>
    <x v="25"/>
    <s v="0709.93"/>
    <n v="88"/>
    <n v="39.916095999999996"/>
    <n v="66"/>
  </r>
  <r>
    <s v="016SFO27930862"/>
    <s v="US , CA"/>
    <x v="0"/>
    <x v="0"/>
    <x v="0"/>
    <x v="26"/>
    <s v="0810.10"/>
    <n v="264"/>
    <n v="119.748288"/>
    <n v="846.45"/>
  </r>
  <r>
    <s v="016SFO27930862"/>
    <s v="US , CA"/>
    <x v="0"/>
    <x v="0"/>
    <x v="0"/>
    <x v="27"/>
    <s v="0804.40"/>
    <n v="250"/>
    <n v="113.398"/>
    <n v="535"/>
  </r>
  <r>
    <s v="016SFO27930862"/>
    <s v="US , CA"/>
    <x v="0"/>
    <x v="0"/>
    <x v="0"/>
    <x v="28"/>
    <s v="0810.20"/>
    <n v="94.5"/>
    <n v="42.864443999999999"/>
    <n v="766.5"/>
  </r>
  <r>
    <s v="016SFO27930862"/>
    <s v="US , CA"/>
    <x v="0"/>
    <x v="0"/>
    <x v="0"/>
    <x v="2"/>
    <s v="0704.90"/>
    <n v="120"/>
    <n v="54.431039999999996"/>
    <n v="160"/>
  </r>
  <r>
    <s v="016SFO27930862"/>
    <s v="US , CA"/>
    <x v="0"/>
    <x v="0"/>
    <x v="0"/>
    <x v="29"/>
    <s v="0806.10"/>
    <n v="19"/>
    <n v="8.6182479999999995"/>
    <n v="30.75"/>
  </r>
  <r>
    <s v="016SFO27930862"/>
    <s v="US , CA"/>
    <x v="0"/>
    <x v="0"/>
    <x v="0"/>
    <x v="29"/>
    <s v="0806.10"/>
    <n v="608"/>
    <n v="275.78393599999998"/>
    <n v="1136"/>
  </r>
  <r>
    <s v="016SFO27930862"/>
    <s v="US , CA"/>
    <x v="0"/>
    <x v="0"/>
    <x v="0"/>
    <x v="29"/>
    <s v="0806.10"/>
    <n v="228"/>
    <n v="103.418976"/>
    <n v="426"/>
  </r>
  <r>
    <s v="016SFO27930862"/>
    <s v="US , CA"/>
    <x v="0"/>
    <x v="0"/>
    <x v="0"/>
    <x v="23"/>
    <s v="0705.11"/>
    <n v="405"/>
    <n v="183.70475999999999"/>
    <n v="234"/>
  </r>
  <r>
    <s v="016SFO27930862"/>
    <s v="US , CA"/>
    <x v="0"/>
    <x v="0"/>
    <x v="0"/>
    <x v="10"/>
    <s v="0709.40"/>
    <n v="60"/>
    <n v="27.215519999999998"/>
    <n v="192"/>
  </r>
  <r>
    <s v="016SFO27930862"/>
    <s v="US , CA"/>
    <x v="0"/>
    <x v="0"/>
    <x v="0"/>
    <x v="30"/>
    <s v="0807.20"/>
    <n v="40"/>
    <n v="18.14368"/>
    <n v="160"/>
  </r>
  <r>
    <s v="016SFO27930862"/>
    <s v="US , CA"/>
    <x v="0"/>
    <x v="0"/>
    <x v="0"/>
    <x v="24"/>
    <s v="0709.60"/>
    <n v="175"/>
    <n v="79.378600000000006"/>
    <n v="301"/>
  </r>
  <r>
    <s v="016SFO27930862"/>
    <s v="US , CA"/>
    <x v="0"/>
    <x v="0"/>
    <x v="0"/>
    <x v="24"/>
    <s v="0709.60"/>
    <n v="50"/>
    <n v="22.679600000000001"/>
    <n v="83"/>
  </r>
  <r>
    <s v="016SFO27930862"/>
    <s v="US , CA"/>
    <x v="0"/>
    <x v="0"/>
    <x v="0"/>
    <x v="31"/>
    <s v="0810.20"/>
    <n v="22.5"/>
    <n v="10.205819999999999"/>
    <n v="200"/>
  </r>
  <r>
    <s v="016SFO27930862"/>
    <s v="US , CA"/>
    <x v="0"/>
    <x v="0"/>
    <x v="0"/>
    <x v="12"/>
    <s v="0706.10"/>
    <n v="240"/>
    <n v="108.86207999999999"/>
    <n v="240"/>
  </r>
  <r>
    <s v="016SFO27930862"/>
    <s v="US , CA"/>
    <x v="0"/>
    <x v="0"/>
    <x v="0"/>
    <x v="20"/>
    <s v="0706.90"/>
    <n v="25"/>
    <n v="11.3398"/>
    <n v="21"/>
  </r>
  <r>
    <s v="016SFO27930862"/>
    <s v="MX"/>
    <x v="2"/>
    <x v="2"/>
    <x v="1"/>
    <x v="16"/>
    <s v="0804.50"/>
    <n v="320"/>
    <n v="145.14944"/>
    <n v="392"/>
  </r>
  <r>
    <s v="016SFO27930862"/>
    <s v="MX"/>
    <x v="2"/>
    <x v="2"/>
    <x v="1"/>
    <x v="32"/>
    <s v="0703.10"/>
    <n v="72"/>
    <n v="32.658624000000003"/>
    <n v="127"/>
  </r>
  <r>
    <s v="016SFO27930862"/>
    <s v="MX"/>
    <x v="2"/>
    <x v="2"/>
    <x v="1"/>
    <x v="11"/>
    <s v="0702.00"/>
    <n v="156"/>
    <n v="70.760351999999997"/>
    <n v="301.60000000000002"/>
  </r>
  <r>
    <s v="016SFO27930862"/>
    <s v="MX"/>
    <x v="2"/>
    <x v="2"/>
    <x v="1"/>
    <x v="11"/>
    <s v="0702.00"/>
    <n v="594"/>
    <n v="269.43364800000001"/>
    <n v="757.35"/>
  </r>
  <r>
    <s v="016SFO27930884"/>
    <s v="US , CA"/>
    <x v="0"/>
    <x v="0"/>
    <x v="0"/>
    <x v="12"/>
    <s v="0706.10"/>
    <n v="150"/>
    <n v="68.038799999999995"/>
    <n v="152.5"/>
  </r>
  <r>
    <s v="016SFO27930884"/>
    <s v="US , CA"/>
    <x v="0"/>
    <x v="0"/>
    <x v="0"/>
    <x v="33"/>
    <s v="0704.10"/>
    <n v="100"/>
    <n v="45.359200000000001"/>
    <n v="96"/>
  </r>
  <r>
    <s v="016SFO27930884"/>
    <s v="US , CA"/>
    <x v="0"/>
    <x v="0"/>
    <x v="0"/>
    <x v="29"/>
    <s v="0806.10"/>
    <n v="475"/>
    <n v="215.4562"/>
    <n v="850"/>
  </r>
  <r>
    <s v="016SFO27930884"/>
    <s v="US , CA"/>
    <x v="0"/>
    <x v="0"/>
    <x v="0"/>
    <x v="29"/>
    <s v="0806.10"/>
    <n v="190"/>
    <n v="86.182479999999998"/>
    <n v="340"/>
  </r>
  <r>
    <s v="016SFO27930884"/>
    <s v="US , CA"/>
    <x v="0"/>
    <x v="0"/>
    <x v="0"/>
    <x v="23"/>
    <s v="0705.11"/>
    <n v="360"/>
    <n v="163.29311999999999"/>
    <n v="200"/>
  </r>
  <r>
    <s v="016SFO27930884"/>
    <s v="US , CA"/>
    <x v="0"/>
    <x v="0"/>
    <x v="0"/>
    <x v="34"/>
    <s v="0709.60"/>
    <n v="100"/>
    <n v="45.359200000000001"/>
    <n v="148"/>
  </r>
  <r>
    <s v="016SFO27930884"/>
    <s v="US , CA"/>
    <x v="0"/>
    <x v="0"/>
    <x v="0"/>
    <x v="35"/>
    <s v="0704.90"/>
    <n v="30"/>
    <n v="13.607759999999999"/>
    <n v="35.5"/>
  </r>
  <r>
    <s v="016SFO27930884"/>
    <s v="US , CA"/>
    <x v="0"/>
    <x v="0"/>
    <x v="0"/>
    <x v="2"/>
    <s v="0704.90"/>
    <n v="12"/>
    <n v="5.4431039999999999"/>
    <n v="31.5"/>
  </r>
  <r>
    <s v="016SFO27930884"/>
    <s v="US , CA"/>
    <x v="0"/>
    <x v="0"/>
    <x v="0"/>
    <x v="36"/>
    <s v="0709.99"/>
    <n v="25"/>
    <n v="11.3398"/>
    <n v="49"/>
  </r>
  <r>
    <s v="016SFO27930884"/>
    <s v="US , CA"/>
    <x v="0"/>
    <x v="0"/>
    <x v="0"/>
    <x v="37"/>
    <s v="0709.30"/>
    <n v="50"/>
    <n v="22.679600000000001"/>
    <n v="71"/>
  </r>
  <r>
    <s v="016SFO27930884"/>
    <s v="US , CA"/>
    <x v="0"/>
    <x v="0"/>
    <x v="0"/>
    <x v="29"/>
    <s v="0806.10"/>
    <n v="19"/>
    <n v="8.6182479999999995"/>
    <n v="36.5"/>
  </r>
  <r>
    <s v="016SFO27930884"/>
    <s v="US , CA"/>
    <x v="0"/>
    <x v="0"/>
    <x v="0"/>
    <x v="1"/>
    <s v="0708.20"/>
    <n v="20"/>
    <n v="9.0718399999999999"/>
    <n v="40.299999999999997"/>
  </r>
  <r>
    <s v="016SFO27930884"/>
    <s v="US , CA"/>
    <x v="0"/>
    <x v="0"/>
    <x v="0"/>
    <x v="1"/>
    <s v="0708.20"/>
    <n v="28"/>
    <n v="12.700576"/>
    <n v="54.9"/>
  </r>
  <r>
    <s v="016SFO27930884"/>
    <s v="US , CA"/>
    <x v="0"/>
    <x v="0"/>
    <x v="0"/>
    <x v="38"/>
    <s v="0810.20"/>
    <n v="4.5"/>
    <n v="2.0411640000000002"/>
    <n v="1326.25"/>
  </r>
  <r>
    <s v="016SFO27930884"/>
    <s v="US , CA"/>
    <x v="0"/>
    <x v="0"/>
    <x v="0"/>
    <x v="21"/>
    <s v="0709.40"/>
    <n v="55"/>
    <n v="24.947559999999999"/>
    <n v="50.9"/>
  </r>
  <r>
    <s v="016SFO27930884"/>
    <s v="US , CA"/>
    <x v="0"/>
    <x v="0"/>
    <x v="0"/>
    <x v="23"/>
    <s v="0705.11"/>
    <n v="35"/>
    <n v="15.875719999999999"/>
    <n v="327.2"/>
  </r>
  <r>
    <s v="016SFO27930884"/>
    <s v="US , CA"/>
    <x v="0"/>
    <x v="0"/>
    <x v="0"/>
    <x v="39"/>
    <s v="0704.90"/>
    <n v="20"/>
    <n v="9.0718399999999999"/>
    <n v="18.95"/>
  </r>
  <r>
    <s v="016SFO27930884"/>
    <s v="US , CA"/>
    <x v="0"/>
    <x v="0"/>
    <x v="0"/>
    <x v="34"/>
    <s v="0709.60"/>
    <n v="36"/>
    <n v="16.329312000000002"/>
    <n v="61"/>
  </r>
  <r>
    <s v="016SFO27930884"/>
    <s v="US , CA"/>
    <x v="0"/>
    <x v="0"/>
    <x v="0"/>
    <x v="34"/>
    <s v="0709.60"/>
    <n v="24"/>
    <n v="10.886208"/>
    <n v="301.95"/>
  </r>
  <r>
    <s v="016SFO27930884"/>
    <s v="US , CA"/>
    <x v="0"/>
    <x v="0"/>
    <x v="0"/>
    <x v="26"/>
    <s v="0810.10"/>
    <n v="8"/>
    <n v="3.628736"/>
    <n v="751.8"/>
  </r>
  <r>
    <s v="016SFO27930884"/>
    <s v="CA"/>
    <x v="3"/>
    <x v="3"/>
    <x v="1"/>
    <x v="10"/>
    <s v="0709.40"/>
    <n v="10"/>
    <n v="4.53592"/>
    <n v="201.3"/>
  </r>
  <r>
    <s v="016SFO27930884"/>
    <s v="US , HI"/>
    <x v="0"/>
    <x v="0"/>
    <x v="0"/>
    <x v="30"/>
    <s v="0807.20"/>
    <n v="60"/>
    <n v="27.215519999999998"/>
    <n v="252"/>
  </r>
  <r>
    <s v="016SFO27930884"/>
    <s v="MX"/>
    <x v="2"/>
    <x v="2"/>
    <x v="1"/>
    <x v="27"/>
    <s v="0804.40"/>
    <n v="125"/>
    <n v="56.698999999999998"/>
    <n v="282.5"/>
  </r>
  <r>
    <s v="016SFO27930884"/>
    <s v="MX"/>
    <x v="2"/>
    <x v="2"/>
    <x v="1"/>
    <x v="4"/>
    <s v="0707.00"/>
    <n v="400"/>
    <n v="181.43680000000001"/>
    <n v="336"/>
  </r>
  <r>
    <s v="016SFO27930884"/>
    <s v="MX"/>
    <x v="2"/>
    <x v="2"/>
    <x v="1"/>
    <x v="20"/>
    <s v="0706.90"/>
    <n v="25"/>
    <n v="11.3398"/>
    <n v="21.5"/>
  </r>
  <r>
    <s v="016SFO27930884"/>
    <s v="MX"/>
    <x v="2"/>
    <x v="2"/>
    <x v="1"/>
    <x v="22"/>
    <s v="0703.90"/>
    <n v="44"/>
    <n v="19.958047999999998"/>
    <n v="96"/>
  </r>
  <r>
    <s v="016SFO27930884"/>
    <s v="MX"/>
    <x v="2"/>
    <x v="2"/>
    <x v="1"/>
    <x v="40"/>
    <s v="0810.40"/>
    <n v="95"/>
    <n v="43.091239999999999"/>
    <n v="1050"/>
  </r>
  <r>
    <s v="016SFO27930884"/>
    <s v="MX"/>
    <x v="2"/>
    <x v="2"/>
    <x v="1"/>
    <x v="25"/>
    <s v="0709.93"/>
    <n v="22"/>
    <n v="9.979023999999999"/>
    <n v="49.5"/>
  </r>
  <r>
    <s v="016SFO27930884"/>
    <s v="MX"/>
    <x v="2"/>
    <x v="2"/>
    <x v="1"/>
    <x v="11"/>
    <s v="0702.00"/>
    <n v="12"/>
    <n v="5.4431039999999999"/>
    <n v="71.400000000000006"/>
  </r>
  <r>
    <s v="016SFO27930884"/>
    <s v="MX"/>
    <x v="2"/>
    <x v="2"/>
    <x v="1"/>
    <x v="11"/>
    <s v="0702.00"/>
    <n v="11"/>
    <n v="4.9895119999999995"/>
    <n v="86.1"/>
  </r>
  <r>
    <s v="016SFO27930884"/>
    <s v="MX"/>
    <x v="2"/>
    <x v="2"/>
    <x v="1"/>
    <x v="11"/>
    <s v="0702.00"/>
    <n v="22"/>
    <n v="9.979023999999999"/>
    <n v="350"/>
  </r>
  <r>
    <s v="023OAK91551552"/>
    <s v="US , CA"/>
    <x v="0"/>
    <x v="0"/>
    <x v="0"/>
    <x v="28"/>
    <s v="0810.20"/>
    <n v="112.5"/>
    <n v="51.0291"/>
    <n v="937.5"/>
  </r>
  <r>
    <s v="023OAK91551552"/>
    <s v="US , CA"/>
    <x v="0"/>
    <x v="0"/>
    <x v="0"/>
    <x v="31"/>
    <s v="0810.20"/>
    <n v="112.5"/>
    <n v="51.0291"/>
    <n v="875"/>
  </r>
  <r>
    <s v="023OAK91551552"/>
    <s v="US , CA"/>
    <x v="0"/>
    <x v="0"/>
    <x v="0"/>
    <x v="1"/>
    <s v="0708.20"/>
    <n v="20"/>
    <n v="9.0718399999999999"/>
    <n v="83"/>
  </r>
  <r>
    <s v="023OAK91551552"/>
    <s v="US , CA"/>
    <x v="0"/>
    <x v="0"/>
    <x v="0"/>
    <x v="1"/>
    <s v="0708.20"/>
    <n v="120"/>
    <n v="54.431039999999996"/>
    <n v="222"/>
  </r>
  <r>
    <s v="023OAK91551552"/>
    <s v="US , CA"/>
    <x v="0"/>
    <x v="0"/>
    <x v="0"/>
    <x v="12"/>
    <s v="0706.10"/>
    <n v="82.5"/>
    <n v="37.421340000000001"/>
    <n v="247.5"/>
  </r>
  <r>
    <s v="023OAK91551552"/>
    <s v="US , CA"/>
    <x v="0"/>
    <x v="0"/>
    <x v="0"/>
    <x v="15"/>
    <s v="0709.99"/>
    <n v="75"/>
    <n v="34.019399999999997"/>
    <n v="337.5"/>
  </r>
  <r>
    <s v="023OAK91551552"/>
    <s v="US , CA"/>
    <x v="0"/>
    <x v="0"/>
    <x v="0"/>
    <x v="4"/>
    <s v="0707.00"/>
    <n v="2750"/>
    <n v="1247.3779999999999"/>
    <n v="2860"/>
  </r>
  <r>
    <s v="023OAK91551552"/>
    <s v="US , CA"/>
    <x v="0"/>
    <x v="0"/>
    <x v="0"/>
    <x v="37"/>
    <s v="0709.30"/>
    <n v="300"/>
    <n v="136.07759999999999"/>
    <n v="432"/>
  </r>
  <r>
    <s v="023OAK91551552"/>
    <s v="US , CA"/>
    <x v="0"/>
    <x v="0"/>
    <x v="0"/>
    <x v="41"/>
    <s v="0705.29"/>
    <n v="10"/>
    <n v="4.53592"/>
    <n v="37.5"/>
  </r>
  <r>
    <s v="023OAK91551552"/>
    <s v="US , CA"/>
    <x v="0"/>
    <x v="0"/>
    <x v="0"/>
    <x v="42"/>
    <s v="0709.99"/>
    <n v="10"/>
    <n v="4.53592"/>
    <n v="26"/>
  </r>
  <r>
    <s v="023OAK91551552"/>
    <s v="US , CA"/>
    <x v="0"/>
    <x v="0"/>
    <x v="0"/>
    <x v="43"/>
    <s v="0703.20"/>
    <n v="45"/>
    <n v="20.411639999999998"/>
    <n v="387.5"/>
  </r>
  <r>
    <s v="023OAK91551552"/>
    <s v="US , CA"/>
    <x v="0"/>
    <x v="0"/>
    <x v="0"/>
    <x v="23"/>
    <s v="0705.11"/>
    <n v="45"/>
    <n v="20.411639999999998"/>
    <n v="87"/>
  </r>
  <r>
    <s v="023OAK91551552"/>
    <s v="US , CA"/>
    <x v="0"/>
    <x v="0"/>
    <x v="0"/>
    <x v="23"/>
    <s v="0705.11"/>
    <n v="10"/>
    <n v="4.53592"/>
    <n v="32"/>
  </r>
  <r>
    <s v="023OAK91551552"/>
    <s v="US , CA"/>
    <x v="0"/>
    <x v="0"/>
    <x v="0"/>
    <x v="23"/>
    <s v="0705.11"/>
    <n v="10"/>
    <n v="4.53592"/>
    <n v="30.5"/>
  </r>
  <r>
    <s v="023OAK91551552"/>
    <s v="US , CA"/>
    <x v="0"/>
    <x v="0"/>
    <x v="0"/>
    <x v="44"/>
    <s v="0705.19"/>
    <n v="30"/>
    <n v="13.607759999999999"/>
    <n v="93"/>
  </r>
  <r>
    <s v="023OAK91551552"/>
    <s v="US , CA"/>
    <x v="0"/>
    <x v="0"/>
    <x v="0"/>
    <x v="10"/>
    <s v="0709.40"/>
    <n v="126"/>
    <n v="57.152591999999999"/>
    <n v="522"/>
  </r>
  <r>
    <s v="023OAK91551552"/>
    <s v="US , CA"/>
    <x v="0"/>
    <x v="0"/>
    <x v="0"/>
    <x v="10"/>
    <s v="0709.40"/>
    <n v="108"/>
    <n v="48.987935999999998"/>
    <n v="468"/>
  </r>
  <r>
    <s v="023OAK91551552"/>
    <s v="US , CA"/>
    <x v="0"/>
    <x v="0"/>
    <x v="0"/>
    <x v="10"/>
    <s v="0709.40"/>
    <n v="150"/>
    <n v="68.038799999999995"/>
    <n v="532.5"/>
  </r>
  <r>
    <s v="023OAK91551552"/>
    <s v="US , CA"/>
    <x v="0"/>
    <x v="0"/>
    <x v="0"/>
    <x v="10"/>
    <s v="0709.40"/>
    <n v="10"/>
    <n v="4.53592"/>
    <n v="58"/>
  </r>
  <r>
    <s v="023OAK91551552"/>
    <s v="US , CA"/>
    <x v="0"/>
    <x v="0"/>
    <x v="0"/>
    <x v="32"/>
    <s v="0703.10"/>
    <n v="7.75"/>
    <n v="3.5153379999999999"/>
    <n v="32.5"/>
  </r>
  <r>
    <s v="023OAK91551552"/>
    <s v="US , CA"/>
    <x v="0"/>
    <x v="0"/>
    <x v="0"/>
    <x v="32"/>
    <s v="0703.10"/>
    <n v="7.5"/>
    <n v="3.4019399999999997"/>
    <n v="32.5"/>
  </r>
  <r>
    <s v="023OAK91551552"/>
    <s v="US , CA"/>
    <x v="0"/>
    <x v="0"/>
    <x v="0"/>
    <x v="32"/>
    <s v="0703.10"/>
    <n v="7.5"/>
    <n v="3.4019399999999997"/>
    <n v="32"/>
  </r>
  <r>
    <s v="023OAK91551552"/>
    <s v="US , CA"/>
    <x v="0"/>
    <x v="0"/>
    <x v="0"/>
    <x v="34"/>
    <s v="0709.60"/>
    <n v="175"/>
    <n v="79.378600000000006"/>
    <n v="476"/>
  </r>
  <r>
    <s v="023OAK91551552"/>
    <s v="US , CA"/>
    <x v="0"/>
    <x v="0"/>
    <x v="0"/>
    <x v="11"/>
    <s v="0702.00"/>
    <n v="1250"/>
    <n v="566.99"/>
    <n v="2950"/>
  </r>
  <r>
    <s v="023OAK91551552"/>
    <s v="US , CA"/>
    <x v="0"/>
    <x v="0"/>
    <x v="0"/>
    <x v="11"/>
    <s v="0702.00"/>
    <n v="82.5"/>
    <n v="37.421340000000001"/>
    <n v="319"/>
  </r>
  <r>
    <s v="023OAK91551552"/>
    <s v="US , CA"/>
    <x v="0"/>
    <x v="0"/>
    <x v="0"/>
    <x v="11"/>
    <s v="0702.00"/>
    <n v="170"/>
    <n v="77.110640000000004"/>
    <n v="476"/>
  </r>
  <r>
    <s v="023OAK91551552"/>
    <s v="US , CA"/>
    <x v="0"/>
    <x v="0"/>
    <x v="0"/>
    <x v="11"/>
    <s v="0702.00"/>
    <n v="400"/>
    <n v="181.43680000000001"/>
    <n v="632"/>
  </r>
  <r>
    <s v="023OAK91551552"/>
    <s v="US , CA"/>
    <x v="0"/>
    <x v="0"/>
    <x v="0"/>
    <x v="45"/>
    <s v="0709.99"/>
    <n v="2"/>
    <n v="0.90718399999999999"/>
    <n v="53"/>
  </r>
  <r>
    <s v="023OAK91551552"/>
    <s v="US , CA"/>
    <x v="0"/>
    <x v="0"/>
    <x v="0"/>
    <x v="46"/>
    <s v="0709.99"/>
    <n v="8.4"/>
    <n v="3.8101728000000001"/>
    <n v="161"/>
  </r>
  <r>
    <s v="023OAK91551552"/>
    <s v="US , CA"/>
    <x v="0"/>
    <x v="0"/>
    <x v="0"/>
    <x v="47"/>
    <s v="0709.99"/>
    <n v="2"/>
    <n v="0.90718399999999999"/>
    <n v="13"/>
  </r>
  <r>
    <s v="023OAK91551552"/>
    <s v="US , CA"/>
    <x v="0"/>
    <x v="0"/>
    <x v="0"/>
    <x v="13"/>
    <s v="0709.99"/>
    <n v="16"/>
    <n v="7.2574719999999999"/>
    <n v="408"/>
  </r>
  <r>
    <s v="023OAK91551552"/>
    <s v="US , CA"/>
    <x v="0"/>
    <x v="0"/>
    <x v="0"/>
    <x v="48"/>
    <s v="0709.99"/>
    <n v="6"/>
    <n v="2.721552"/>
    <n v="153"/>
  </r>
  <r>
    <s v="023OAK91551552"/>
    <s v="US , CA"/>
    <x v="0"/>
    <x v="0"/>
    <x v="0"/>
    <x v="45"/>
    <s v="0709.99"/>
    <n v="1.96"/>
    <n v="0.88904032"/>
    <n v="103.25"/>
  </r>
  <r>
    <s v="023OAK91551552"/>
    <s v="US , CA"/>
    <x v="0"/>
    <x v="0"/>
    <x v="0"/>
    <x v="8"/>
    <s v="0703.90"/>
    <n v="0.4"/>
    <n v="0.18143680000000001"/>
    <n v="29.5"/>
  </r>
  <r>
    <s v="023OAK91551552"/>
    <s v="US , CA"/>
    <x v="0"/>
    <x v="0"/>
    <x v="0"/>
    <x v="49"/>
    <s v="0709.99"/>
    <n v="1.4"/>
    <n v="0.63502879999999995"/>
    <n v="73.75"/>
  </r>
  <r>
    <s v="023OAK91551552"/>
    <s v="US , CA"/>
    <x v="0"/>
    <x v="0"/>
    <x v="0"/>
    <x v="46"/>
    <s v="0709.99"/>
    <n v="3.64"/>
    <n v="1.6510748800000001"/>
    <n v="191.75"/>
  </r>
  <r>
    <s v="023OAK91551552"/>
    <s v="US , CA"/>
    <x v="0"/>
    <x v="0"/>
    <x v="0"/>
    <x v="50"/>
    <s v="0709.99"/>
    <n v="0.84"/>
    <n v="0.38101727999999996"/>
    <n v="44.25"/>
  </r>
  <r>
    <s v="023OAK91551552"/>
    <s v="US , CA"/>
    <x v="0"/>
    <x v="0"/>
    <x v="0"/>
    <x v="13"/>
    <s v="0709.99"/>
    <n v="4.76"/>
    <n v="2.1590979199999998"/>
    <n v="250.75"/>
  </r>
  <r>
    <s v="023OAK91551552"/>
    <s v="US , CA"/>
    <x v="0"/>
    <x v="0"/>
    <x v="0"/>
    <x v="51"/>
    <s v="0709.99"/>
    <n v="0.84"/>
    <n v="0.38101727999999996"/>
    <n v="44.25"/>
  </r>
  <r>
    <s v="023OAK91551552"/>
    <s v="US , CA"/>
    <x v="0"/>
    <x v="0"/>
    <x v="0"/>
    <x v="7"/>
    <s v="0709.99"/>
    <n v="3.64"/>
    <n v="1.6510748800000001"/>
    <n v="191.75"/>
  </r>
  <r>
    <s v="023OAK91551552"/>
    <s v="US , CA"/>
    <x v="0"/>
    <x v="0"/>
    <x v="0"/>
    <x v="23"/>
    <s v="0705.11"/>
    <n v="5"/>
    <n v="2.26796"/>
    <n v="46"/>
  </r>
  <r>
    <s v="023OAK91551552"/>
    <s v="US , CA"/>
    <x v="0"/>
    <x v="0"/>
    <x v="0"/>
    <x v="39"/>
    <s v="0704.90"/>
    <n v="2.5"/>
    <n v="1.13398"/>
    <n v="19.05"/>
  </r>
  <r>
    <s v="023OAK91551552"/>
    <s v="US , CA"/>
    <x v="0"/>
    <x v="0"/>
    <x v="0"/>
    <x v="12"/>
    <s v="0706.10"/>
    <n v="5"/>
    <n v="2.26796"/>
    <n v="28"/>
  </r>
  <r>
    <s v="023OAK91551552"/>
    <s v="US , CA"/>
    <x v="0"/>
    <x v="0"/>
    <x v="0"/>
    <x v="52"/>
    <s v="0603.13"/>
    <n v="1.5"/>
    <n v="0.68038799999999999"/>
    <n v="51.6"/>
  </r>
  <r>
    <s v="023OAK91551552"/>
    <s v="US , CA"/>
    <x v="0"/>
    <x v="0"/>
    <x v="0"/>
    <x v="53"/>
    <s v="0704.90"/>
    <n v="20"/>
    <n v="9.0718399999999999"/>
    <n v="32.5"/>
  </r>
  <r>
    <s v="180AKL69830880"/>
    <s v="NZ"/>
    <x v="4"/>
    <x v="4"/>
    <x v="1"/>
    <x v="26"/>
    <s v="0810.10"/>
    <n v="1201"/>
    <n v="544.76399200000003"/>
    <n v="7500"/>
  </r>
  <r>
    <s v="180AKL69830913"/>
    <s v="NZ"/>
    <x v="4"/>
    <x v="4"/>
    <x v="1"/>
    <x v="26"/>
    <s v="0810.10"/>
    <n v="865"/>
    <n v="392.35708"/>
    <n v="5400"/>
  </r>
  <r>
    <s v="180AKL69830924"/>
    <s v="NZ"/>
    <x v="4"/>
    <x v="4"/>
    <x v="1"/>
    <x v="26"/>
    <s v="0810.10"/>
    <n v="1601"/>
    <n v="726.20079199999998"/>
    <n v="10000"/>
  </r>
  <r>
    <s v="180AKL69830924"/>
    <s v="NZ"/>
    <x v="4"/>
    <x v="4"/>
    <x v="1"/>
    <x v="40"/>
    <s v="0810.20"/>
    <n v="298"/>
    <n v="135.17041599999999"/>
    <n v="4050"/>
  </r>
  <r>
    <s v="180AKL69830950"/>
    <s v="NZ"/>
    <x v="4"/>
    <x v="4"/>
    <x v="1"/>
    <x v="26"/>
    <s v="0810.10"/>
    <n v="1441"/>
    <n v="653.62607200000002"/>
    <n v="8640"/>
  </r>
  <r>
    <s v="180AKL69830950"/>
    <s v="NZ"/>
    <x v="4"/>
    <x v="4"/>
    <x v="1"/>
    <x v="40"/>
    <s v="0810.20"/>
    <n v="298"/>
    <n v="135.17041599999999"/>
    <n v="3735"/>
  </r>
  <r>
    <s v="180ICN17875631"/>
    <s v="KR"/>
    <x v="5"/>
    <x v="5"/>
    <x v="1"/>
    <x v="23"/>
    <s v="0705.11"/>
    <n v="8.81"/>
    <n v="3.9961455200000002"/>
    <n v="18"/>
  </r>
  <r>
    <s v="180ICN17875631"/>
    <s v="KR"/>
    <x v="5"/>
    <x v="5"/>
    <x v="1"/>
    <x v="39"/>
    <s v="0704.90"/>
    <n v="2.2000000000000002"/>
    <n v="0.99790240000000008"/>
    <n v="25"/>
  </r>
  <r>
    <s v="180ICN17875631"/>
    <s v="KR"/>
    <x v="5"/>
    <x v="5"/>
    <x v="1"/>
    <x v="34"/>
    <s v="0709.60"/>
    <n v="22.04"/>
    <n v="9.9971676799999987"/>
    <n v="80"/>
  </r>
  <r>
    <s v="180ICN17875631"/>
    <s v="KR"/>
    <x v="5"/>
    <x v="5"/>
    <x v="1"/>
    <x v="54"/>
    <s v="0709.99"/>
    <n v="8.81"/>
    <n v="3.9961455200000002"/>
    <n v="76"/>
  </r>
  <r>
    <s v="180ICN17875631"/>
    <s v="KR"/>
    <x v="5"/>
    <x v="5"/>
    <x v="1"/>
    <x v="35"/>
    <s v="0704.90"/>
    <n v="4.4000000000000004"/>
    <n v="1.9958048000000002"/>
    <n v="25"/>
  </r>
  <r>
    <s v="180ICN17875631"/>
    <s v="KR"/>
    <x v="5"/>
    <x v="5"/>
    <x v="1"/>
    <x v="55"/>
    <s v="0709.99"/>
    <n v="2.2000000000000002"/>
    <n v="0.99790240000000008"/>
    <n v="17.5"/>
  </r>
  <r>
    <s v="180ICN17875631"/>
    <s v="KR"/>
    <x v="5"/>
    <x v="5"/>
    <x v="1"/>
    <x v="10"/>
    <s v="0709.40"/>
    <n v="13.22"/>
    <n v="5.9964862400000003"/>
    <n v="54"/>
  </r>
  <r>
    <s v="180ICN17875631"/>
    <s v="KR"/>
    <x v="5"/>
    <x v="5"/>
    <x v="1"/>
    <x v="56"/>
    <s v="0810.70"/>
    <n v="22.04"/>
    <n v="9.9971676799999987"/>
    <n v="60"/>
  </r>
  <r>
    <s v="180ICN17875631"/>
    <s v="KR"/>
    <x v="5"/>
    <x v="5"/>
    <x v="1"/>
    <x v="57"/>
    <s v="0808.10"/>
    <n v="22.04"/>
    <n v="9.9971676799999987"/>
    <n v="58"/>
  </r>
  <r>
    <s v="180ICN17875631"/>
    <s v="KR"/>
    <x v="5"/>
    <x v="5"/>
    <x v="1"/>
    <x v="29"/>
    <s v="0806.10"/>
    <n v="13.22"/>
    <n v="5.9964862400000003"/>
    <n v="65"/>
  </r>
  <r>
    <s v="180ICN17875642"/>
    <s v="KR"/>
    <x v="5"/>
    <x v="5"/>
    <x v="1"/>
    <x v="23"/>
    <s v="0705.11"/>
    <n v="4.4000000000000004"/>
    <n v="1.9958048000000002"/>
    <n v="25"/>
  </r>
  <r>
    <s v="180ICN17875642"/>
    <s v="KR"/>
    <x v="5"/>
    <x v="5"/>
    <x v="1"/>
    <x v="39"/>
    <s v="0704.90"/>
    <n v="2.2000000000000002"/>
    <n v="0.99790240000000008"/>
    <n v="26"/>
  </r>
  <r>
    <s v="180ICN17875642"/>
    <s v="KR"/>
    <x v="5"/>
    <x v="5"/>
    <x v="1"/>
    <x v="58"/>
    <s v="0706.90"/>
    <n v="6.61"/>
    <n v="2.9982431200000002"/>
    <n v="20"/>
  </r>
  <r>
    <s v="180ICN17875642"/>
    <s v="KR"/>
    <x v="5"/>
    <x v="5"/>
    <x v="1"/>
    <x v="54"/>
    <s v="0709.99"/>
    <n v="8.81"/>
    <n v="3.9961455200000002"/>
    <n v="38"/>
  </r>
  <r>
    <s v="180ICN17875642"/>
    <s v="KR"/>
    <x v="5"/>
    <x v="5"/>
    <x v="1"/>
    <x v="35"/>
    <s v="0704.90"/>
    <n v="6.61"/>
    <n v="2.9982431200000002"/>
    <n v="60"/>
  </r>
  <r>
    <s v="180ICN17875642"/>
    <s v="KR"/>
    <x v="5"/>
    <x v="5"/>
    <x v="1"/>
    <x v="17"/>
    <s v="0709.70"/>
    <n v="2.2000000000000002"/>
    <n v="0.99790240000000008"/>
    <n v="17.5"/>
  </r>
  <r>
    <s v="180ICN17875642"/>
    <s v="KR"/>
    <x v="5"/>
    <x v="5"/>
    <x v="1"/>
    <x v="25"/>
    <s v="0709.93"/>
    <n v="35.270000000000003"/>
    <n v="15.998189840000002"/>
    <n v="76"/>
  </r>
  <r>
    <s v="180ICN17875642"/>
    <s v="KR"/>
    <x v="5"/>
    <x v="5"/>
    <x v="1"/>
    <x v="17"/>
    <s v="0709.70"/>
    <n v="22.04"/>
    <n v="9.9971676799999987"/>
    <n v="44"/>
  </r>
  <r>
    <s v="180ICN17875642"/>
    <s v="KR"/>
    <x v="5"/>
    <x v="5"/>
    <x v="1"/>
    <x v="10"/>
    <s v="0709.40"/>
    <n v="13.22"/>
    <n v="5.9964862400000003"/>
    <n v="27"/>
  </r>
  <r>
    <s v="180ICN17875642"/>
    <s v="KR"/>
    <x v="5"/>
    <x v="5"/>
    <x v="1"/>
    <x v="56"/>
    <s v="0810.70"/>
    <n v="44.09"/>
    <n v="19.998871280000003"/>
    <n v="120"/>
  </r>
  <r>
    <s v="180ICN17875642"/>
    <s v="KR"/>
    <x v="5"/>
    <x v="5"/>
    <x v="1"/>
    <x v="57"/>
    <s v="0808.10"/>
    <n v="22.04"/>
    <n v="9.9971676799999987"/>
    <n v="70"/>
  </r>
  <r>
    <s v="180ICN17875642"/>
    <s v="KR"/>
    <x v="5"/>
    <x v="5"/>
    <x v="1"/>
    <x v="29"/>
    <s v="0806.10"/>
    <n v="39.68"/>
    <n v="17.998530559999999"/>
    <n v="104"/>
  </r>
  <r>
    <s v="APLUSG0285709"/>
    <s v="KR"/>
    <x v="5"/>
    <x v="5"/>
    <x v="1"/>
    <x v="56"/>
    <s v="0810.70"/>
    <n v="551"/>
    <n v="249.929192"/>
    <n v="800"/>
  </r>
  <r>
    <s v="APLUSG0285709"/>
    <s v="KR"/>
    <x v="5"/>
    <x v="5"/>
    <x v="1"/>
    <x v="29"/>
    <s v="0806.10"/>
    <n v="445"/>
    <n v="201.84844000000001"/>
    <n v="880"/>
  </r>
  <r>
    <s v="APLUSG0285709"/>
    <s v="KR"/>
    <x v="5"/>
    <x v="5"/>
    <x v="1"/>
    <x v="59"/>
    <s v="0807.19"/>
    <n v="353"/>
    <n v="160.117976"/>
    <n v="512"/>
  </r>
  <r>
    <s v="APLUSG0285709"/>
    <s v="KR"/>
    <x v="5"/>
    <x v="5"/>
    <x v="1"/>
    <x v="56"/>
    <s v="0810.70"/>
    <n v="1102"/>
    <n v="499.858384"/>
    <n v="1800"/>
  </r>
  <r>
    <s v="APLUSG0285709"/>
    <s v="KR"/>
    <x v="5"/>
    <x v="5"/>
    <x v="1"/>
    <x v="54"/>
    <s v="0709.99"/>
    <n v="17"/>
    <n v="7.7110640000000004"/>
    <n v="132"/>
  </r>
  <r>
    <s v="APLUSG0285709"/>
    <s v="KR"/>
    <x v="5"/>
    <x v="5"/>
    <x v="1"/>
    <x v="10"/>
    <s v="0709.40"/>
    <n v="22"/>
    <n v="9.979023999999999"/>
    <n v="48"/>
  </r>
  <r>
    <s v="APLUSG0285709"/>
    <s v="KR"/>
    <x v="5"/>
    <x v="5"/>
    <x v="1"/>
    <x v="10"/>
    <s v="0709.40"/>
    <n v="44"/>
    <n v="19.958047999999998"/>
    <n v="52"/>
  </r>
  <r>
    <s v="APLUSG0285709"/>
    <s v="KR"/>
    <x v="5"/>
    <x v="5"/>
    <x v="1"/>
    <x v="10"/>
    <s v="0709.40"/>
    <n v="7"/>
    <n v="3.175144"/>
    <n v="22.4"/>
  </r>
  <r>
    <s v="APLUSG0285709"/>
    <s v="KR"/>
    <x v="5"/>
    <x v="5"/>
    <x v="1"/>
    <x v="25"/>
    <s v="0709.93"/>
    <n v="110"/>
    <n v="49.895119999999999"/>
    <n v="180"/>
  </r>
  <r>
    <s v="APLUSG0285709"/>
    <s v="KR"/>
    <x v="5"/>
    <x v="5"/>
    <x v="1"/>
    <x v="23"/>
    <s v="0705.11"/>
    <n v="26"/>
    <n v="11.793392000000001"/>
    <n v="108"/>
  </r>
  <r>
    <s v="APLUSG0285709"/>
    <s v="KR"/>
    <x v="5"/>
    <x v="5"/>
    <x v="1"/>
    <x v="23"/>
    <s v="0705.11"/>
    <n v="26"/>
    <n v="11.793392000000001"/>
    <n v="108"/>
  </r>
  <r>
    <s v="APLUSG0285709"/>
    <s v="KR"/>
    <x v="5"/>
    <x v="5"/>
    <x v="1"/>
    <x v="34"/>
    <s v="0709.60"/>
    <n v="22"/>
    <n v="9.979023999999999"/>
    <n v="88"/>
  </r>
  <r>
    <s v="APLUSG0285709"/>
    <s v="KR"/>
    <x v="5"/>
    <x v="5"/>
    <x v="1"/>
    <x v="34"/>
    <s v="0709.60"/>
    <n v="18"/>
    <n v="8.1646560000000008"/>
    <n v="56"/>
  </r>
  <r>
    <s v="APLUSG0285709"/>
    <s v="KR"/>
    <x v="5"/>
    <x v="5"/>
    <x v="1"/>
    <x v="34"/>
    <s v="0709.60"/>
    <n v="44"/>
    <n v="19.958047999999998"/>
    <n v="160"/>
  </r>
  <r>
    <s v="APLUSG0285709"/>
    <s v="KR"/>
    <x v="5"/>
    <x v="5"/>
    <x v="1"/>
    <x v="34"/>
    <s v="0709.60"/>
    <n v="44"/>
    <n v="19.958047999999998"/>
    <n v="168"/>
  </r>
  <r>
    <s v="APLUSG0285709"/>
    <s v="KR"/>
    <x v="5"/>
    <x v="5"/>
    <x v="1"/>
    <x v="43"/>
    <s v="0703.20"/>
    <n v="88"/>
    <n v="39.916095999999996"/>
    <n v="132"/>
  </r>
  <r>
    <s v="APLUSG0285709"/>
    <s v="KR"/>
    <x v="5"/>
    <x v="5"/>
    <x v="1"/>
    <x v="60"/>
    <s v="0714.20"/>
    <n v="282"/>
    <n v="127.912944"/>
    <n v="704"/>
  </r>
  <r>
    <s v="APLUSG0285709"/>
    <s v="KR"/>
    <x v="5"/>
    <x v="5"/>
    <x v="1"/>
    <x v="22"/>
    <s v="0703.90"/>
    <n v="661"/>
    <n v="299.82431200000002"/>
    <n v="1120"/>
  </r>
  <r>
    <s v="APLUSG0285709"/>
    <s v="KR"/>
    <x v="5"/>
    <x v="5"/>
    <x v="1"/>
    <x v="58"/>
    <s v="0706.90"/>
    <n v="66"/>
    <n v="29.937072000000001"/>
    <n v="96"/>
  </r>
  <r>
    <s v="APLUSG0285709"/>
    <s v="KR"/>
    <x v="5"/>
    <x v="5"/>
    <x v="1"/>
    <x v="17"/>
    <s v="0709.70"/>
    <n v="66"/>
    <n v="29.937072000000001"/>
    <n v="320"/>
  </r>
  <r>
    <s v="APLUSG0285709"/>
    <s v="KR"/>
    <x v="5"/>
    <x v="5"/>
    <x v="1"/>
    <x v="61"/>
    <s v="0805.21"/>
    <n v="3307"/>
    <n v="1500.028744"/>
    <n v="6000"/>
  </r>
  <r>
    <s v="APLUSG0285709"/>
    <s v="KR"/>
    <x v="5"/>
    <x v="5"/>
    <x v="1"/>
    <x v="61"/>
    <s v="0805.21"/>
    <n v="661"/>
    <n v="299.82431200000002"/>
    <n v="2080"/>
  </r>
  <r>
    <s v="APLUSG0285709"/>
    <s v="KR"/>
    <x v="5"/>
    <x v="5"/>
    <x v="1"/>
    <x v="62"/>
    <s v="1212.21"/>
    <n v="79"/>
    <n v="35.833767999999999"/>
    <n v="100.8"/>
  </r>
  <r>
    <s v="APLUSG0285709"/>
    <s v="KR"/>
    <x v="5"/>
    <x v="5"/>
    <x v="1"/>
    <x v="62"/>
    <s v="1212.21"/>
    <n v="79"/>
    <n v="35.833767999999999"/>
    <n v="100.8"/>
  </r>
  <r>
    <s v="APLUSG0285709"/>
    <s v="KR"/>
    <x v="5"/>
    <x v="5"/>
    <x v="1"/>
    <x v="62"/>
    <s v="1212.21"/>
    <n v="79"/>
    <n v="35.833767999999999"/>
    <n v="96"/>
  </r>
  <r>
    <s v="MATS1653072-000"/>
    <s v="US , CA"/>
    <x v="0"/>
    <x v="0"/>
    <x v="0"/>
    <x v="63"/>
    <s v="0714.30"/>
    <n v="80"/>
    <n v="36.28736"/>
    <n v="71.5"/>
  </r>
  <r>
    <s v="MATS1653072-000"/>
    <s v="US , CA"/>
    <x v="0"/>
    <x v="0"/>
    <x v="0"/>
    <x v="64"/>
    <s v="0805.50"/>
    <n v="40"/>
    <n v="18.14368"/>
    <n v="36.75"/>
  </r>
  <r>
    <s v="MATS1653072-000"/>
    <s v="US , CA"/>
    <x v="0"/>
    <x v="0"/>
    <x v="0"/>
    <x v="10"/>
    <s v="0709.40"/>
    <n v="168"/>
    <n v="76.203456000000003"/>
    <n v="639.79999999999995"/>
  </r>
  <r>
    <s v="MATS1653072-000"/>
    <s v="US , CA"/>
    <x v="0"/>
    <x v="0"/>
    <x v="0"/>
    <x v="21"/>
    <s v="0709.40"/>
    <n v="104"/>
    <n v="47.173568000000003"/>
    <n v="41.9"/>
  </r>
  <r>
    <s v="MATS1653072-000"/>
    <s v="US , CA"/>
    <x v="0"/>
    <x v="0"/>
    <x v="0"/>
    <x v="12"/>
    <s v="0706.10"/>
    <n v="250"/>
    <n v="113.398"/>
    <n v="137.94999999999999"/>
  </r>
  <r>
    <s v="MATS1653072-000"/>
    <s v="US , CA"/>
    <x v="0"/>
    <x v="0"/>
    <x v="0"/>
    <x v="65"/>
    <s v="0810.50"/>
    <n v="18"/>
    <n v="8.1646560000000008"/>
    <n v="25.75"/>
  </r>
  <r>
    <s v="MATS1653072-000"/>
    <s v="US , CA"/>
    <x v="0"/>
    <x v="0"/>
    <x v="0"/>
    <x v="66"/>
    <s v="0701.00"/>
    <n v="50"/>
    <n v="22.679600000000001"/>
    <n v="18.75"/>
  </r>
  <r>
    <s v="MATS1653072-000"/>
    <s v="US , CA"/>
    <x v="0"/>
    <x v="0"/>
    <x v="0"/>
    <x v="64"/>
    <s v="0805.50"/>
    <n v="570"/>
    <n v="258.54743999999999"/>
    <n v="38.75"/>
  </r>
  <r>
    <s v="MATS1653072-000"/>
    <s v="US , CA"/>
    <x v="0"/>
    <x v="0"/>
    <x v="0"/>
    <x v="11"/>
    <s v="0702.00"/>
    <n v="84"/>
    <n v="38.101728000000001"/>
    <n v="71.25"/>
  </r>
  <r>
    <s v="MATS1653072-000"/>
    <s v="US , CA"/>
    <x v="0"/>
    <x v="0"/>
    <x v="0"/>
    <x v="23"/>
    <s v="0705.11"/>
    <n v="480"/>
    <n v="217.72415999999998"/>
    <n v="286.2"/>
  </r>
  <r>
    <s v="MATS1653072-000"/>
    <s v="US , CA"/>
    <x v="0"/>
    <x v="0"/>
    <x v="0"/>
    <x v="25"/>
    <s v="0709.93"/>
    <n v="44"/>
    <n v="19.958047999999998"/>
    <n v="33.9"/>
  </r>
  <r>
    <s v="MATS1653072-000"/>
    <s v="US , CA"/>
    <x v="0"/>
    <x v="0"/>
    <x v="0"/>
    <x v="12"/>
    <s v="0706.10"/>
    <n v="20"/>
    <n v="9.0718399999999999"/>
    <n v="24.85"/>
  </r>
  <r>
    <s v="MATS1653072-000"/>
    <s v="US , CA"/>
    <x v="0"/>
    <x v="0"/>
    <x v="0"/>
    <x v="10"/>
    <s v="0709.40"/>
    <n v="65"/>
    <n v="29.48348"/>
    <n v="321.75"/>
  </r>
  <r>
    <s v="MATS1653072-000"/>
    <s v="US , CA"/>
    <x v="0"/>
    <x v="0"/>
    <x v="0"/>
    <x v="35"/>
    <s v="0704.90"/>
    <n v="1575"/>
    <n v="714.40739999999994"/>
    <n v="1009.75"/>
  </r>
  <r>
    <s v="MATS1653072-000"/>
    <s v="US , CA"/>
    <x v="0"/>
    <x v="0"/>
    <x v="0"/>
    <x v="35"/>
    <s v="0704.90"/>
    <n v="90"/>
    <n v="40.823279999999997"/>
    <n v="57.7"/>
  </r>
  <r>
    <s v="MATS1653072-000"/>
    <s v="US , CA"/>
    <x v="0"/>
    <x v="0"/>
    <x v="0"/>
    <x v="23"/>
    <s v="0705.11"/>
    <n v="54"/>
    <n v="24.493967999999999"/>
    <n v="77.55"/>
  </r>
  <r>
    <s v="MATS1653072-000"/>
    <s v="US , CA"/>
    <x v="0"/>
    <x v="0"/>
    <x v="0"/>
    <x v="20"/>
    <s v="0706.90"/>
    <n v="40"/>
    <n v="18.14368"/>
    <n v="32"/>
  </r>
  <r>
    <s v="MATS1653072-000"/>
    <s v="US , CA"/>
    <x v="0"/>
    <x v="0"/>
    <x v="0"/>
    <x v="23"/>
    <s v="0705.11"/>
    <n v="20"/>
    <n v="9.0718399999999999"/>
    <n v="22.5"/>
  </r>
  <r>
    <s v="MATS1653072-000"/>
    <s v="US , CA"/>
    <x v="0"/>
    <x v="0"/>
    <x v="0"/>
    <x v="34"/>
    <s v="0709.60"/>
    <n v="15"/>
    <n v="6.8038799999999995"/>
    <n v="32.950000000000003"/>
  </r>
  <r>
    <s v="MATS1653072-000"/>
    <s v="US , CA"/>
    <x v="0"/>
    <x v="0"/>
    <x v="0"/>
    <x v="34"/>
    <s v="0709.60"/>
    <n v="550"/>
    <n v="249.47559999999999"/>
    <n v="519.5"/>
  </r>
  <r>
    <s v="MATS1653072-000"/>
    <s v="US , CA"/>
    <x v="0"/>
    <x v="0"/>
    <x v="0"/>
    <x v="34"/>
    <s v="0709.60"/>
    <n v="400"/>
    <n v="181.43680000000001"/>
    <n v="470"/>
  </r>
  <r>
    <s v="MATS1653072-000"/>
    <s v="US , CA"/>
    <x v="0"/>
    <x v="0"/>
    <x v="0"/>
    <x v="67"/>
    <s v="0805.40"/>
    <n v="190"/>
    <n v="86.182479999999998"/>
    <n v="183.75"/>
  </r>
  <r>
    <s v="MATS1653072-000"/>
    <s v="US , CA"/>
    <x v="0"/>
    <x v="0"/>
    <x v="0"/>
    <x v="33"/>
    <s v="0704.10"/>
    <n v="50"/>
    <n v="22.679600000000001"/>
    <n v="45.9"/>
  </r>
  <r>
    <s v="MATS1653072-000"/>
    <s v="US , CA"/>
    <x v="0"/>
    <x v="0"/>
    <x v="0"/>
    <x v="32"/>
    <s v="0703.10"/>
    <n v="200"/>
    <n v="90.718400000000003"/>
    <n v="63"/>
  </r>
  <r>
    <s v="MATS1653072-000"/>
    <s v="US , CA"/>
    <x v="0"/>
    <x v="0"/>
    <x v="0"/>
    <x v="34"/>
    <s v="0709.60"/>
    <n v="10"/>
    <n v="4.53592"/>
    <n v="35"/>
  </r>
  <r>
    <s v="MATS1653072-000"/>
    <s v="US , CA"/>
    <x v="0"/>
    <x v="0"/>
    <x v="0"/>
    <x v="34"/>
    <s v="0709.60"/>
    <n v="80"/>
    <n v="36.28736"/>
    <n v="84"/>
  </r>
  <r>
    <s v="MATS1653072-000"/>
    <s v="US , CA"/>
    <x v="0"/>
    <x v="0"/>
    <x v="0"/>
    <x v="14"/>
    <s v="0805.10"/>
    <n v="80"/>
    <n v="36.28736"/>
    <n v="91.5"/>
  </r>
  <r>
    <s v="MATS1653072-000"/>
    <s v="US , CA"/>
    <x v="0"/>
    <x v="0"/>
    <x v="0"/>
    <x v="34"/>
    <s v="0709.60"/>
    <n v="60"/>
    <n v="27.215519999999998"/>
    <n v="94.5"/>
  </r>
  <r>
    <s v="MATS1653072-000"/>
    <s v="US , CA"/>
    <x v="0"/>
    <x v="0"/>
    <x v="0"/>
    <x v="34"/>
    <s v="0709.60"/>
    <n v="15"/>
    <n v="6.8038799999999995"/>
    <n v="36"/>
  </r>
  <r>
    <s v="MATS1653072-000"/>
    <s v="US , CA"/>
    <x v="0"/>
    <x v="0"/>
    <x v="0"/>
    <x v="15"/>
    <s v="0709.99"/>
    <n v="36"/>
    <n v="16.329312000000002"/>
    <n v="188.55"/>
  </r>
  <r>
    <s v="MATS1653072-000"/>
    <s v="US , CA"/>
    <x v="0"/>
    <x v="0"/>
    <x v="0"/>
    <x v="23"/>
    <s v="0705.11"/>
    <n v="1000"/>
    <n v="453.59199999999998"/>
    <n v="546.25"/>
  </r>
  <r>
    <s v="MATS1653072-000"/>
    <s v="US , CA"/>
    <x v="0"/>
    <x v="0"/>
    <x v="0"/>
    <x v="34"/>
    <s v="0709.60"/>
    <n v="5"/>
    <n v="2.26796"/>
    <n v="10.5"/>
  </r>
  <r>
    <s v="MATS1653072-000"/>
    <s v="US , CA"/>
    <x v="0"/>
    <x v="0"/>
    <x v="0"/>
    <x v="23"/>
    <s v="0705.11"/>
    <n v="40"/>
    <n v="18.14368"/>
    <n v="19.850000000000001"/>
  </r>
  <r>
    <s v="MATS1653072-000"/>
    <s v="US , CA"/>
    <x v="0"/>
    <x v="0"/>
    <x v="0"/>
    <x v="23"/>
    <s v="0705.11"/>
    <n v="950"/>
    <n v="430.91239999999999"/>
    <n v="621.25"/>
  </r>
  <r>
    <s v="MATS1653072-000"/>
    <s v="US , CA"/>
    <x v="0"/>
    <x v="0"/>
    <x v="0"/>
    <x v="66"/>
    <s v="0701.00"/>
    <n v="800"/>
    <n v="362.87360000000001"/>
    <n v="332"/>
  </r>
  <r>
    <s v="MATS1653072-000"/>
    <s v="US , CA"/>
    <x v="0"/>
    <x v="0"/>
    <x v="0"/>
    <x v="17"/>
    <s v="0709.70"/>
    <n v="25"/>
    <n v="11.3398"/>
    <n v="30.95"/>
  </r>
  <r>
    <s v="MATS1653072-000"/>
    <s v="US , CA"/>
    <x v="0"/>
    <x v="0"/>
    <x v="0"/>
    <x v="22"/>
    <s v="0703.90"/>
    <n v="10"/>
    <n v="4.53592"/>
    <n v="24.75"/>
  </r>
  <r>
    <s v="MATS1653072-000"/>
    <s v="US , CA"/>
    <x v="0"/>
    <x v="0"/>
    <x v="0"/>
    <x v="17"/>
    <s v="0709.70"/>
    <n v="127.5"/>
    <n v="57.832979999999999"/>
    <n v="390.15"/>
  </r>
  <r>
    <s v="MATS1653072-000"/>
    <s v="US , CA"/>
    <x v="0"/>
    <x v="0"/>
    <x v="0"/>
    <x v="57"/>
    <s v="0808.10"/>
    <n v="160"/>
    <n v="72.574719999999999"/>
    <n v="183"/>
  </r>
  <r>
    <s v="MATS1653072-000"/>
    <s v="US , CA"/>
    <x v="0"/>
    <x v="0"/>
    <x v="0"/>
    <x v="57"/>
    <s v="0808.10"/>
    <n v="160"/>
    <n v="72.574719999999999"/>
    <n v="147"/>
  </r>
  <r>
    <s v="MATS1653072-000"/>
    <s v="US , CA"/>
    <x v="0"/>
    <x v="0"/>
    <x v="0"/>
    <x v="64"/>
    <s v="0805.50"/>
    <n v="190"/>
    <n v="86.182479999999998"/>
    <n v="193.75"/>
  </r>
  <r>
    <s v="MATS1653072-000"/>
    <s v="US , CA"/>
    <x v="0"/>
    <x v="0"/>
    <x v="0"/>
    <x v="23"/>
    <s v="0705.11"/>
    <n v="3200"/>
    <n v="1451.4944"/>
    <n v="1908"/>
  </r>
  <r>
    <s v="MATS1653072-000"/>
    <s v="US , CA"/>
    <x v="0"/>
    <x v="0"/>
    <x v="0"/>
    <x v="35"/>
    <s v="0704.90"/>
    <n v="180"/>
    <n v="81.646559999999994"/>
    <n v="115.4"/>
  </r>
  <r>
    <s v="MATS1653072-000"/>
    <s v="US , CA"/>
    <x v="0"/>
    <x v="0"/>
    <x v="0"/>
    <x v="34"/>
    <s v="0709.60"/>
    <n v="350"/>
    <n v="158.75720000000001"/>
    <n v="349.3"/>
  </r>
  <r>
    <s v="MATS1653072-000"/>
    <s v="US , CA"/>
    <x v="0"/>
    <x v="0"/>
    <x v="0"/>
    <x v="21"/>
    <s v="0709.40"/>
    <n v="400"/>
    <n v="181.43680000000001"/>
    <n v="198"/>
  </r>
  <r>
    <s v="MATS1653072-000"/>
    <s v="US , CA"/>
    <x v="0"/>
    <x v="0"/>
    <x v="0"/>
    <x v="23"/>
    <s v="0705.11"/>
    <n v="3800"/>
    <n v="1723.6496"/>
    <n v="2485"/>
  </r>
  <r>
    <s v="MATS1653072-000"/>
    <s v="US , CA"/>
    <x v="0"/>
    <x v="0"/>
    <x v="0"/>
    <x v="66"/>
    <s v="0701.90"/>
    <n v="950"/>
    <n v="430.91239999999999"/>
    <n v="394.25"/>
  </r>
  <r>
    <s v="MATS1653072-000"/>
    <s v="US , CA"/>
    <x v="0"/>
    <x v="0"/>
    <x v="0"/>
    <x v="34"/>
    <s v="0709.60"/>
    <n v="88"/>
    <n v="39.916095999999996"/>
    <n v="121.6"/>
  </r>
  <r>
    <s v="MATS1653072-000"/>
    <s v="US , CA"/>
    <x v="0"/>
    <x v="0"/>
    <x v="0"/>
    <x v="10"/>
    <s v="0709.40"/>
    <n v="348"/>
    <n v="157.85001600000001"/>
    <n v="1218"/>
  </r>
  <r>
    <s v="MATS1653072-000"/>
    <s v="US , CA"/>
    <x v="0"/>
    <x v="0"/>
    <x v="0"/>
    <x v="33"/>
    <s v="0704.10"/>
    <n v="1160"/>
    <n v="526.16671999999994"/>
    <n v="1186.0999999999999"/>
  </r>
  <r>
    <s v="MATS1653072-000"/>
    <s v="US , CA"/>
    <x v="0"/>
    <x v="0"/>
    <x v="0"/>
    <x v="39"/>
    <s v="0704.90"/>
    <n v="72"/>
    <n v="32.658624000000003"/>
    <n v="151.02000000000001"/>
  </r>
  <r>
    <s v="MATS1653072-000"/>
    <s v="US , CA"/>
    <x v="0"/>
    <x v="0"/>
    <x v="0"/>
    <x v="25"/>
    <s v="0709.93"/>
    <n v="320"/>
    <n v="145.14944"/>
    <n v="112"/>
  </r>
  <r>
    <s v="MATS1653072-000"/>
    <s v="US , CA"/>
    <x v="0"/>
    <x v="0"/>
    <x v="0"/>
    <x v="35"/>
    <s v="0704.90"/>
    <n v="720"/>
    <n v="326.58623999999998"/>
    <n v="260"/>
  </r>
  <r>
    <s v="MATS1653072-000"/>
    <s v="US , CA"/>
    <x v="0"/>
    <x v="0"/>
    <x v="0"/>
    <x v="24"/>
    <s v="0709.60"/>
    <n v="400"/>
    <n v="181.43680000000001"/>
    <n v="372.8"/>
  </r>
  <r>
    <s v="MATS1653072-000"/>
    <s v="US , CA"/>
    <x v="0"/>
    <x v="0"/>
    <x v="0"/>
    <x v="2"/>
    <s v="0704.90"/>
    <n v="144"/>
    <n v="65.317248000000006"/>
    <n v="292"/>
  </r>
  <r>
    <s v="MATS1653072-000"/>
    <s v="US , CA"/>
    <x v="0"/>
    <x v="0"/>
    <x v="0"/>
    <x v="24"/>
    <s v="0709.60"/>
    <n v="70"/>
    <n v="31.751439999999999"/>
    <n v="108.5"/>
  </r>
  <r>
    <s v="MATS1653072-000"/>
    <s v="US , CA"/>
    <x v="0"/>
    <x v="0"/>
    <x v="0"/>
    <x v="32"/>
    <s v="0703.10"/>
    <n v="600"/>
    <n v="272.15519999999998"/>
    <n v="189"/>
  </r>
  <r>
    <s v="MATS1653072-000"/>
    <s v="US , CA"/>
    <x v="0"/>
    <x v="0"/>
    <x v="0"/>
    <x v="21"/>
    <s v="0709.40"/>
    <n v="144"/>
    <n v="65.317248000000006"/>
    <n v="112.5"/>
  </r>
  <r>
    <s v="MATS1653072-000"/>
    <s v="MX"/>
    <x v="2"/>
    <x v="2"/>
    <x v="1"/>
    <x v="27"/>
    <s v="0804.40"/>
    <n v="350"/>
    <n v="158.75720000000001"/>
    <n v="1070.5"/>
  </r>
  <r>
    <s v="MATS1653072-000"/>
    <s v="MX"/>
    <x v="2"/>
    <x v="2"/>
    <x v="1"/>
    <x v="0"/>
    <s v="0709.20"/>
    <n v="44"/>
    <n v="19.958047999999998"/>
    <n v="203.8"/>
  </r>
  <r>
    <s v="MATS1653072-000"/>
    <s v="MX"/>
    <x v="2"/>
    <x v="2"/>
    <x v="1"/>
    <x v="11"/>
    <s v="0702.00"/>
    <n v="40"/>
    <n v="18.14368"/>
    <n v="71.900000000000006"/>
  </r>
  <r>
    <s v="MATS1653072-000"/>
    <s v="MX"/>
    <x v="2"/>
    <x v="2"/>
    <x v="1"/>
    <x v="68"/>
    <s v="0709.99"/>
    <n v="90"/>
    <n v="40.823279999999997"/>
    <n v="92.55"/>
  </r>
  <r>
    <s v="MATS1653072-000"/>
    <s v="MX"/>
    <x v="2"/>
    <x v="2"/>
    <x v="1"/>
    <x v="11"/>
    <s v="0702.00"/>
    <n v="360"/>
    <n v="163.29311999999999"/>
    <n v="629.1"/>
  </r>
  <r>
    <s v="MATS1653072-000"/>
    <s v="MX"/>
    <x v="2"/>
    <x v="2"/>
    <x v="1"/>
    <x v="11"/>
    <s v="0702.00"/>
    <n v="550"/>
    <n v="249.47559999999999"/>
    <n v="856.9"/>
  </r>
  <r>
    <s v="MATS1653072-000"/>
    <s v="MX"/>
    <x v="2"/>
    <x v="2"/>
    <x v="1"/>
    <x v="22"/>
    <s v="0703.90"/>
    <n v="560"/>
    <n v="254.01151999999999"/>
    <n v="1466.5"/>
  </r>
  <r>
    <s v="MATS1653072-000"/>
    <s v="MX"/>
    <x v="2"/>
    <x v="2"/>
    <x v="1"/>
    <x v="11"/>
    <s v="0702.00"/>
    <n v="22.5"/>
    <n v="10.205819999999999"/>
    <n v="68.849999999999994"/>
  </r>
  <r>
    <s v="MATS1653072-000"/>
    <s v="MX"/>
    <x v="2"/>
    <x v="2"/>
    <x v="1"/>
    <x v="69"/>
    <s v="0805.50"/>
    <n v="288"/>
    <n v="130.63449600000001"/>
    <n v="360"/>
  </r>
  <r>
    <s v="MATS1653072-000"/>
    <s v="MX"/>
    <x v="2"/>
    <x v="2"/>
    <x v="1"/>
    <x v="36"/>
    <s v="0709.99"/>
    <n v="20"/>
    <n v="9.0718399999999999"/>
    <n v="219.8"/>
  </r>
  <r>
    <s v="MATS1653072-000"/>
    <s v="MX"/>
    <x v="2"/>
    <x v="2"/>
    <x v="1"/>
    <x v="11"/>
    <s v="0702.00"/>
    <n v="60"/>
    <n v="27.215519999999998"/>
    <n v="107.85"/>
  </r>
  <r>
    <s v="MATS1653072-000"/>
    <s v="MX"/>
    <x v="2"/>
    <x v="2"/>
    <x v="1"/>
    <x v="11"/>
    <s v="0702.00"/>
    <n v="800"/>
    <n v="362.87360000000001"/>
    <n v="1398"/>
  </r>
  <r>
    <s v="MATS1653072-000"/>
    <s v="MX"/>
    <x v="2"/>
    <x v="2"/>
    <x v="1"/>
    <x v="11"/>
    <s v="0702.00"/>
    <n v="1125"/>
    <n v="510.291"/>
    <n v="1752.75"/>
  </r>
  <r>
    <s v="MATS1653072-000"/>
    <s v="MX"/>
    <x v="2"/>
    <x v="2"/>
    <x v="1"/>
    <x v="22"/>
    <s v="0703.90"/>
    <n v="96"/>
    <n v="43.544832"/>
    <n v="142.19999999999999"/>
  </r>
  <r>
    <s v="MATS1653072-000"/>
    <s v="MX"/>
    <x v="2"/>
    <x v="2"/>
    <x v="1"/>
    <x v="1"/>
    <s v="0708.20"/>
    <n v="330"/>
    <n v="149.68536"/>
    <n v="759"/>
  </r>
  <r>
    <s v="MATS1653072-000"/>
    <s v="US , CA"/>
    <x v="0"/>
    <x v="0"/>
    <x v="0"/>
    <x v="35"/>
    <s v="0704.90"/>
    <n v="45"/>
    <n v="20.411639999999998"/>
    <n v="945"/>
  </r>
  <r>
    <s v="MATS1653072-000"/>
    <s v="US , CA"/>
    <x v="0"/>
    <x v="0"/>
    <x v="0"/>
    <x v="2"/>
    <s v="0704.90"/>
    <n v="30"/>
    <n v="13.607759999999999"/>
    <n v="80"/>
  </r>
  <r>
    <s v="MATS1653072-000"/>
    <s v="US , CA"/>
    <x v="0"/>
    <x v="0"/>
    <x v="0"/>
    <x v="70"/>
    <s v="0704.90"/>
    <n v="30"/>
    <n v="13.607759999999999"/>
    <n v="644"/>
  </r>
  <r>
    <s v="MATS1834925-000"/>
    <s v="US , CA"/>
    <x v="0"/>
    <x v="0"/>
    <x v="0"/>
    <x v="34"/>
    <s v="0709.60"/>
    <n v="2800"/>
    <n v="1270.0576000000001"/>
    <n v="2576"/>
  </r>
  <r>
    <s v="MATS1834925-000"/>
    <s v="US , CA"/>
    <x v="0"/>
    <x v="0"/>
    <x v="0"/>
    <x v="34"/>
    <s v="0709.60"/>
    <n v="1400"/>
    <n v="635.02880000000005"/>
    <n v="1512"/>
  </r>
  <r>
    <s v="MATS1834925-000"/>
    <s v="US , CA"/>
    <x v="0"/>
    <x v="0"/>
    <x v="0"/>
    <x v="70"/>
    <s v="0704.90"/>
    <n v="1890"/>
    <n v="857.28887999999995"/>
    <n v="1890"/>
  </r>
  <r>
    <s v="MATS1834925-000"/>
    <s v="US , CA"/>
    <x v="0"/>
    <x v="0"/>
    <x v="0"/>
    <x v="35"/>
    <s v="0704.90"/>
    <n v="3500"/>
    <n v="1587.5719999999999"/>
    <n v="2152.5"/>
  </r>
  <r>
    <s v="MATS2570292-000"/>
    <s v="US , CA"/>
    <x v="0"/>
    <x v="0"/>
    <x v="0"/>
    <x v="71"/>
    <s v="0803.00"/>
    <n v="34560"/>
    <n v="15676.139520000001"/>
    <n v="18714.240000000002"/>
  </r>
  <r>
    <s v="MATS2999277-000"/>
    <s v="US , CA"/>
    <x v="0"/>
    <x v="0"/>
    <x v="0"/>
    <x v="57"/>
    <s v="0808.10"/>
    <n v="38"/>
    <n v="17.236495999999999"/>
    <n v="70.5"/>
  </r>
  <r>
    <s v="MATS2999277-000"/>
    <s v="US , CA"/>
    <x v="0"/>
    <x v="0"/>
    <x v="0"/>
    <x v="57"/>
    <s v="0808.10"/>
    <n v="38"/>
    <n v="17.236495999999999"/>
    <n v="749"/>
  </r>
  <r>
    <s v="MATS2999277-000"/>
    <s v="US , CA"/>
    <x v="0"/>
    <x v="0"/>
    <x v="0"/>
    <x v="57"/>
    <s v="0808.10"/>
    <n v="38"/>
    <n v="17.236495999999999"/>
    <n v="120.45"/>
  </r>
  <r>
    <s v="MATS2999277-000"/>
    <s v="US , CA"/>
    <x v="0"/>
    <x v="0"/>
    <x v="0"/>
    <x v="35"/>
    <s v="0704.90"/>
    <n v="55"/>
    <n v="24.947559999999999"/>
    <n v="131.25"/>
  </r>
  <r>
    <s v="MATS2999277-000"/>
    <s v="US , CA"/>
    <x v="0"/>
    <x v="0"/>
    <x v="0"/>
    <x v="35"/>
    <s v="0704.90"/>
    <n v="50"/>
    <n v="22.679600000000001"/>
    <n v="48.8"/>
  </r>
  <r>
    <s v="MATS2999277-000"/>
    <s v="US , CA"/>
    <x v="0"/>
    <x v="0"/>
    <x v="0"/>
    <x v="35"/>
    <s v="0704.90"/>
    <n v="55"/>
    <n v="24.947559999999999"/>
    <n v="84.15"/>
  </r>
  <r>
    <s v="MATS2999277-000"/>
    <s v="US , CA"/>
    <x v="0"/>
    <x v="0"/>
    <x v="0"/>
    <x v="65"/>
    <s v="0810.50"/>
    <n v="7"/>
    <n v="3.175144"/>
    <n v="677.1"/>
  </r>
  <r>
    <s v="MATS2999277-000"/>
    <s v="US , CA"/>
    <x v="0"/>
    <x v="0"/>
    <x v="0"/>
    <x v="72"/>
    <s v="0808.30"/>
    <n v="36"/>
    <n v="16.329312000000002"/>
    <n v="233.4"/>
  </r>
  <r>
    <s v="MATS2999277-000"/>
    <s v="US , CA"/>
    <x v="0"/>
    <x v="0"/>
    <x v="0"/>
    <x v="43"/>
    <s v="0703.20"/>
    <n v="30"/>
    <n v="13.607759999999999"/>
    <n v="98.1"/>
  </r>
  <r>
    <s v="MATS2999277-000"/>
    <s v="US , CA"/>
    <x v="0"/>
    <x v="0"/>
    <x v="0"/>
    <x v="14"/>
    <s v="0805.10"/>
    <n v="40"/>
    <n v="18.14368"/>
    <n v="1158.3"/>
  </r>
  <r>
    <s v="MATS3499430-000"/>
    <s v="US , CA"/>
    <x v="0"/>
    <x v="0"/>
    <x v="0"/>
    <x v="57"/>
    <s v="0808.10"/>
    <n v="72"/>
    <n v="32.658624000000003"/>
    <n v="67"/>
  </r>
  <r>
    <s v="MATS3499430-000"/>
    <s v="US , CA"/>
    <x v="0"/>
    <x v="0"/>
    <x v="0"/>
    <x v="57"/>
    <s v="0808.10"/>
    <n v="120"/>
    <n v="54.431039999999996"/>
    <n v="145.5"/>
  </r>
  <r>
    <s v="MATS3499430-000"/>
    <s v="US , CA"/>
    <x v="0"/>
    <x v="0"/>
    <x v="0"/>
    <x v="27"/>
    <s v="0804.40"/>
    <n v="96"/>
    <n v="43.544832"/>
    <n v="310"/>
  </r>
  <r>
    <s v="MATS3499430-000"/>
    <s v="US , CA"/>
    <x v="0"/>
    <x v="0"/>
    <x v="0"/>
    <x v="58"/>
    <s v="0706.90"/>
    <n v="25"/>
    <n v="11.3398"/>
    <n v="24.5"/>
  </r>
  <r>
    <s v="MATS3499430-000"/>
    <s v="US , CA"/>
    <x v="0"/>
    <x v="0"/>
    <x v="0"/>
    <x v="34"/>
    <s v="0709.60"/>
    <n v="150"/>
    <n v="68.038799999999995"/>
    <n v="265.5"/>
  </r>
  <r>
    <s v="MATS3499430-000"/>
    <s v="US , CA"/>
    <x v="0"/>
    <x v="0"/>
    <x v="0"/>
    <x v="34"/>
    <s v="0709.60"/>
    <n v="125"/>
    <n v="56.698999999999998"/>
    <n v="282.5"/>
  </r>
  <r>
    <s v="MATS3499430-000"/>
    <s v="US , CA"/>
    <x v="0"/>
    <x v="0"/>
    <x v="0"/>
    <x v="2"/>
    <s v="0704.90"/>
    <n v="240"/>
    <n v="108.86207999999999"/>
    <n v="585"/>
  </r>
  <r>
    <s v="MATS3499430-000"/>
    <s v="US , CA"/>
    <x v="0"/>
    <x v="0"/>
    <x v="0"/>
    <x v="3"/>
    <s v="0704.20"/>
    <n v="50"/>
    <n v="22.679600000000001"/>
    <n v="92.5"/>
  </r>
  <r>
    <s v="MATS3499430-000"/>
    <s v="US , CA"/>
    <x v="0"/>
    <x v="0"/>
    <x v="0"/>
    <x v="73"/>
    <s v="0807.19"/>
    <n v="80"/>
    <n v="36.28736"/>
    <n v="45"/>
  </r>
  <r>
    <s v="MATS3499430-000"/>
    <s v="US , CA"/>
    <x v="0"/>
    <x v="0"/>
    <x v="0"/>
    <x v="2"/>
    <s v="0704.90"/>
    <n v="80.400000000000006"/>
    <n v="36.4687968"/>
    <n v="127.5"/>
  </r>
  <r>
    <s v="MATS3499430-000"/>
    <s v="US , CA"/>
    <x v="0"/>
    <x v="0"/>
    <x v="0"/>
    <x v="21"/>
    <s v="0709.40"/>
    <n v="100"/>
    <n v="45.359200000000001"/>
    <n v="77"/>
  </r>
  <r>
    <s v="MATS3499430-000"/>
    <s v="US , CA"/>
    <x v="0"/>
    <x v="0"/>
    <x v="0"/>
    <x v="29"/>
    <s v="0806.10"/>
    <n v="19"/>
    <n v="8.6182479999999995"/>
    <n v="42.25"/>
  </r>
  <r>
    <s v="MATS3499430-000"/>
    <s v="US , CA"/>
    <x v="0"/>
    <x v="0"/>
    <x v="0"/>
    <x v="74"/>
    <s v="0807.19"/>
    <n v="90"/>
    <n v="40.823279999999997"/>
    <n v="67.5"/>
  </r>
  <r>
    <s v="MATS3499430-000"/>
    <s v="US , CA"/>
    <x v="0"/>
    <x v="0"/>
    <x v="0"/>
    <x v="39"/>
    <s v="0704.90"/>
    <n v="15.5"/>
    <n v="7.0306759999999997"/>
    <n v="26.25"/>
  </r>
  <r>
    <s v="MATS3499430-000"/>
    <s v="US , CA"/>
    <x v="0"/>
    <x v="0"/>
    <x v="0"/>
    <x v="64"/>
    <s v="0805.50"/>
    <n v="560"/>
    <n v="254.01151999999999"/>
    <n v="539"/>
  </r>
  <r>
    <s v="MATS3499430-000"/>
    <s v="US , CA"/>
    <x v="0"/>
    <x v="0"/>
    <x v="0"/>
    <x v="23"/>
    <s v="0705.11"/>
    <n v="820.7"/>
    <n v="372.26295440000001"/>
    <n v="1116.5"/>
  </r>
  <r>
    <s v="MATS3499430-000"/>
    <s v="US , CA"/>
    <x v="0"/>
    <x v="0"/>
    <x v="0"/>
    <x v="23"/>
    <s v="0705.11"/>
    <n v="120"/>
    <n v="54.431039999999996"/>
    <n v="96.5"/>
  </r>
  <r>
    <s v="MATS3499430-000"/>
    <s v="US , CA"/>
    <x v="0"/>
    <x v="0"/>
    <x v="0"/>
    <x v="23"/>
    <s v="0705.11"/>
    <n v="360"/>
    <n v="163.29311999999999"/>
    <n v="418.5"/>
  </r>
  <r>
    <s v="MATS3499430-000"/>
    <s v="US , CA"/>
    <x v="0"/>
    <x v="0"/>
    <x v="0"/>
    <x v="23"/>
    <s v="0705.11"/>
    <n v="120"/>
    <n v="54.431039999999996"/>
    <n v="267"/>
  </r>
  <r>
    <s v="MATS3499430-000"/>
    <s v="US , CA"/>
    <x v="0"/>
    <x v="0"/>
    <x v="0"/>
    <x v="69"/>
    <s v="0805.50"/>
    <n v="112.8"/>
    <n v="51.1651776"/>
    <n v="187.5"/>
  </r>
  <r>
    <s v="MATS3499430-000"/>
    <s v="US , CA"/>
    <x v="0"/>
    <x v="0"/>
    <x v="0"/>
    <x v="16"/>
    <s v="0804.50"/>
    <n v="65.8"/>
    <n v="29.846353599999997"/>
    <n v="197.75"/>
  </r>
  <r>
    <s v="MATS3499430-000"/>
    <s v="US , CA"/>
    <x v="0"/>
    <x v="0"/>
    <x v="0"/>
    <x v="10"/>
    <s v="0709.40"/>
    <n v="10"/>
    <n v="4.53592"/>
    <n v="51"/>
  </r>
  <r>
    <s v="MATS3499430-000"/>
    <s v="US , CA"/>
    <x v="0"/>
    <x v="0"/>
    <x v="0"/>
    <x v="10"/>
    <s v="0709.40"/>
    <n v="72"/>
    <n v="32.658624000000003"/>
    <n v="258"/>
  </r>
  <r>
    <s v="MATS3499430-000"/>
    <s v="US , CA"/>
    <x v="0"/>
    <x v="0"/>
    <x v="0"/>
    <x v="32"/>
    <s v="0703.10"/>
    <n v="375"/>
    <n v="170.09700000000001"/>
    <n v="577.5"/>
  </r>
  <r>
    <s v="MATS3499430-000"/>
    <s v="US , CA"/>
    <x v="0"/>
    <x v="0"/>
    <x v="0"/>
    <x v="32"/>
    <s v="0703.10"/>
    <n v="750"/>
    <n v="340.19400000000002"/>
    <n v="472.5"/>
  </r>
  <r>
    <s v="MATS3499430-000"/>
    <s v="US , CA"/>
    <x v="0"/>
    <x v="0"/>
    <x v="0"/>
    <x v="14"/>
    <s v="0805.10"/>
    <n v="80"/>
    <n v="36.28736"/>
    <n v="115"/>
  </r>
  <r>
    <s v="MATS3499430-000"/>
    <s v="US , CA"/>
    <x v="0"/>
    <x v="0"/>
    <x v="0"/>
    <x v="75"/>
    <s v="0804.30"/>
    <n v="125"/>
    <n v="56.698999999999998"/>
    <n v="147.5"/>
  </r>
  <r>
    <s v="MATS3499430-000"/>
    <s v="US , CA"/>
    <x v="0"/>
    <x v="0"/>
    <x v="0"/>
    <x v="66"/>
    <s v="0701.00"/>
    <n v="750"/>
    <n v="340.19400000000002"/>
    <n v="352.5"/>
  </r>
  <r>
    <s v="MATS3499430-000"/>
    <s v="US , CA"/>
    <x v="0"/>
    <x v="0"/>
    <x v="0"/>
    <x v="66"/>
    <s v="0701.00"/>
    <n v="100"/>
    <n v="45.359200000000001"/>
    <n v="84.5"/>
  </r>
  <r>
    <s v="MATS3499430-000"/>
    <s v="US , CA"/>
    <x v="0"/>
    <x v="0"/>
    <x v="0"/>
    <x v="17"/>
    <s v="0709.70"/>
    <n v="277.5"/>
    <n v="125.87178"/>
    <n v="693.75"/>
  </r>
  <r>
    <s v="MATS3499430-000"/>
    <s v="US , CA"/>
    <x v="0"/>
    <x v="0"/>
    <x v="0"/>
    <x v="25"/>
    <s v="0709.93"/>
    <n v="25"/>
    <n v="11.3398"/>
    <n v="34.5"/>
  </r>
  <r>
    <s v="MATS3499430-000"/>
    <s v="US , CA"/>
    <x v="0"/>
    <x v="0"/>
    <x v="0"/>
    <x v="11"/>
    <s v="0702.00"/>
    <n v="374"/>
    <n v="169.64340799999999"/>
    <n v="1020"/>
  </r>
  <r>
    <s v="MATS3499430-000"/>
    <s v="US , CA"/>
    <x v="0"/>
    <x v="0"/>
    <x v="0"/>
    <x v="11"/>
    <s v="0702.00"/>
    <n v="75"/>
    <n v="34.019399999999997"/>
    <n v="115.5"/>
  </r>
  <r>
    <s v="MATS3499430-000"/>
    <s v="US , CA"/>
    <x v="0"/>
    <x v="0"/>
    <x v="0"/>
    <x v="76"/>
    <s v="0807.11"/>
    <n v="130"/>
    <n v="58.96696"/>
    <n v="91"/>
  </r>
  <r>
    <s v="MATS3499430-000"/>
    <s v="US , CA"/>
    <x v="0"/>
    <x v="0"/>
    <x v="0"/>
    <x v="63"/>
    <s v="0714.30"/>
    <n v="400"/>
    <n v="181.43680000000001"/>
    <n v="575"/>
  </r>
  <r>
    <s v="MATS3499430-000"/>
    <s v="US , CA"/>
    <x v="0"/>
    <x v="0"/>
    <x v="0"/>
    <x v="35"/>
    <s v="0704.90"/>
    <n v="1125"/>
    <n v="510.291"/>
    <n v="650"/>
  </r>
  <r>
    <s v="MATS3499430-000"/>
    <s v="US , CA"/>
    <x v="0"/>
    <x v="0"/>
    <x v="0"/>
    <x v="35"/>
    <s v="0704.90"/>
    <n v="3000"/>
    <n v="1360.7760000000001"/>
    <n v="1080"/>
  </r>
  <r>
    <s v="MATS3499430-000"/>
    <s v="US , CA"/>
    <x v="0"/>
    <x v="0"/>
    <x v="0"/>
    <x v="12"/>
    <s v="0706.10"/>
    <n v="100"/>
    <n v="45.359200000000001"/>
    <n v="60"/>
  </r>
  <r>
    <s v="MATS3499430-000"/>
    <s v="US , CA"/>
    <x v="0"/>
    <x v="0"/>
    <x v="0"/>
    <x v="20"/>
    <s v="0706.90"/>
    <n v="200"/>
    <n v="90.718400000000003"/>
    <n v="70"/>
  </r>
  <r>
    <s v="MATS3499430-000"/>
    <s v="US , CA"/>
    <x v="0"/>
    <x v="0"/>
    <x v="0"/>
    <x v="70"/>
    <s v="0704.90"/>
    <n v="360"/>
    <n v="163.29311999999999"/>
    <n v="336"/>
  </r>
  <r>
    <s v="MATS3499430-000"/>
    <s v="US , CA"/>
    <x v="0"/>
    <x v="0"/>
    <x v="0"/>
    <x v="77"/>
    <s v="0910.11"/>
    <n v="210"/>
    <n v="95.254319999999993"/>
    <n v="224"/>
  </r>
  <r>
    <s v="MATS3499430-000"/>
    <s v="US , CA"/>
    <x v="0"/>
    <x v="0"/>
    <x v="0"/>
    <x v="22"/>
    <s v="0703.90"/>
    <n v="980"/>
    <n v="444.52015999999998"/>
    <n v="1120"/>
  </r>
  <r>
    <s v="MATS3499430-000"/>
    <s v="US , CA"/>
    <x v="0"/>
    <x v="0"/>
    <x v="0"/>
    <x v="57"/>
    <s v="0808.10"/>
    <n v="84"/>
    <n v="38.101728000000001"/>
    <n v="130.5"/>
  </r>
  <r>
    <s v="MATS3499430-000"/>
    <s v="US , CA"/>
    <x v="0"/>
    <x v="0"/>
    <x v="0"/>
    <x v="57"/>
    <s v="0808.10"/>
    <n v="36"/>
    <n v="16.329312000000002"/>
    <n v="33.5"/>
  </r>
  <r>
    <s v="MATS3499430-000"/>
    <s v="US , CA"/>
    <x v="0"/>
    <x v="0"/>
    <x v="0"/>
    <x v="57"/>
    <s v="0808.10"/>
    <n v="400"/>
    <n v="181.43680000000001"/>
    <n v="575"/>
  </r>
  <r>
    <s v="MATS3499430-000"/>
    <s v="US , CA"/>
    <x v="0"/>
    <x v="0"/>
    <x v="0"/>
    <x v="57"/>
    <s v="0808.10"/>
    <n v="40"/>
    <n v="18.14368"/>
    <n v="38"/>
  </r>
  <r>
    <s v="MATS3499430-000"/>
    <s v="US , CA"/>
    <x v="0"/>
    <x v="0"/>
    <x v="0"/>
    <x v="57"/>
    <s v="0808.10"/>
    <n v="40"/>
    <n v="18.14368"/>
    <n v="36.5"/>
  </r>
  <r>
    <s v="MATS3499430-000"/>
    <s v="US , CA"/>
    <x v="0"/>
    <x v="0"/>
    <x v="0"/>
    <x v="0"/>
    <s v="0709.20"/>
    <n v="22"/>
    <n v="9.979023999999999"/>
    <n v="107.5"/>
  </r>
  <r>
    <s v="MATS3499430-000"/>
    <s v="US , CA"/>
    <x v="0"/>
    <x v="0"/>
    <x v="0"/>
    <x v="27"/>
    <s v="0804.40"/>
    <n v="96"/>
    <n v="43.544832"/>
    <n v="270"/>
  </r>
  <r>
    <s v="MATS3499430-000"/>
    <s v="US , CA"/>
    <x v="0"/>
    <x v="0"/>
    <x v="0"/>
    <x v="34"/>
    <s v="0709.60"/>
    <n v="175"/>
    <n v="79.378600000000006"/>
    <n v="309.75"/>
  </r>
  <r>
    <s v="MATS3499430-000"/>
    <s v="US , CA"/>
    <x v="0"/>
    <x v="0"/>
    <x v="0"/>
    <x v="34"/>
    <s v="0709.60"/>
    <n v="150"/>
    <n v="68.038799999999995"/>
    <n v="339"/>
  </r>
  <r>
    <s v="MATS3499430-000"/>
    <s v="US , CA"/>
    <x v="0"/>
    <x v="0"/>
    <x v="0"/>
    <x v="34"/>
    <s v="0709.60"/>
    <n v="75"/>
    <n v="34.019399999999997"/>
    <n v="187.5"/>
  </r>
  <r>
    <s v="MATS3499430-000"/>
    <s v="US , CA"/>
    <x v="0"/>
    <x v="0"/>
    <x v="0"/>
    <x v="40"/>
    <s v="0810.20"/>
    <n v="45"/>
    <n v="20.411639999999998"/>
    <n v="537.5"/>
  </r>
  <r>
    <s v="MATS3499430-000"/>
    <s v="US , CA"/>
    <x v="0"/>
    <x v="0"/>
    <x v="0"/>
    <x v="40"/>
    <s v="0810.20"/>
    <n v="9"/>
    <n v="4.0823280000000004"/>
    <n v="97"/>
  </r>
  <r>
    <s v="MATS3499430-000"/>
    <s v="US , CA"/>
    <x v="0"/>
    <x v="0"/>
    <x v="0"/>
    <x v="2"/>
    <s v="0704.90"/>
    <n v="360"/>
    <n v="163.29311999999999"/>
    <n v="877.5"/>
  </r>
  <r>
    <s v="MATS3499430-000"/>
    <s v="US , CA"/>
    <x v="0"/>
    <x v="0"/>
    <x v="0"/>
    <x v="35"/>
    <s v="0704.90"/>
    <n v="45"/>
    <n v="20.411639999999998"/>
    <n v="35.25"/>
  </r>
  <r>
    <s v="MATS3499430-000"/>
    <s v="US , CA"/>
    <x v="0"/>
    <x v="0"/>
    <x v="0"/>
    <x v="73"/>
    <s v="0807.19"/>
    <n v="160"/>
    <n v="72.574719999999999"/>
    <n v="90"/>
  </r>
  <r>
    <s v="MATS3499430-000"/>
    <s v="US , CA"/>
    <x v="0"/>
    <x v="0"/>
    <x v="0"/>
    <x v="12"/>
    <s v="0706.10"/>
    <n v="30"/>
    <n v="13.607759999999999"/>
    <n v="27.5"/>
  </r>
  <r>
    <s v="MATS3499430-000"/>
    <s v="US , CA"/>
    <x v="0"/>
    <x v="0"/>
    <x v="0"/>
    <x v="12"/>
    <s v="0706.10"/>
    <n v="48"/>
    <n v="21.772416"/>
    <n v="28.25"/>
  </r>
  <r>
    <s v="MATS3499430-000"/>
    <s v="US , CA"/>
    <x v="0"/>
    <x v="0"/>
    <x v="0"/>
    <x v="12"/>
    <s v="0706.10"/>
    <n v="40"/>
    <n v="18.14368"/>
    <n v="103.75"/>
  </r>
  <r>
    <s v="MATS3499430-000"/>
    <s v="US , CA"/>
    <x v="0"/>
    <x v="0"/>
    <x v="0"/>
    <x v="2"/>
    <s v="0704.90"/>
    <n v="26.8"/>
    <n v="12.156265599999999"/>
    <n v="42.5"/>
  </r>
  <r>
    <s v="MATS3499430-000"/>
    <s v="US , CA"/>
    <x v="0"/>
    <x v="0"/>
    <x v="0"/>
    <x v="21"/>
    <s v="0709.40"/>
    <n v="89.4"/>
    <n v="40.551124800000004"/>
    <n v="77"/>
  </r>
  <r>
    <s v="MATS3499430-000"/>
    <s v="US , CA"/>
    <x v="0"/>
    <x v="0"/>
    <x v="0"/>
    <x v="21"/>
    <s v="0709.40"/>
    <n v="50"/>
    <n v="22.679600000000001"/>
    <n v="38.5"/>
  </r>
  <r>
    <s v="MATS3499430-000"/>
    <s v="US , CA"/>
    <x v="0"/>
    <x v="0"/>
    <x v="0"/>
    <x v="15"/>
    <s v="0709.99"/>
    <n v="42"/>
    <n v="19.050864000000001"/>
    <n v="91.5"/>
  </r>
  <r>
    <s v="MATS3499430-000"/>
    <s v="US , CA"/>
    <x v="0"/>
    <x v="0"/>
    <x v="0"/>
    <x v="78"/>
    <s v="0804.10"/>
    <n v="11"/>
    <n v="4.9895119999999995"/>
    <n v="58.5"/>
  </r>
  <r>
    <s v="MATS3499430-000"/>
    <s v="US , CA"/>
    <x v="0"/>
    <x v="0"/>
    <x v="0"/>
    <x v="79"/>
    <s v="0810.30"/>
    <n v="4.5"/>
    <n v="2.0411640000000002"/>
    <n v="28.5"/>
  </r>
  <r>
    <s v="MATS3499430-000"/>
    <s v="US , CA"/>
    <x v="0"/>
    <x v="0"/>
    <x v="0"/>
    <x v="29"/>
    <s v="0806.10"/>
    <n v="38"/>
    <n v="17.236495999999999"/>
    <n v="85"/>
  </r>
  <r>
    <s v="MATS3499430-000"/>
    <s v="US , CA"/>
    <x v="0"/>
    <x v="0"/>
    <x v="0"/>
    <x v="29"/>
    <s v="0806.10"/>
    <n v="266"/>
    <n v="120.655472"/>
    <n v="598.5"/>
  </r>
  <r>
    <s v="MATS3499430-000"/>
    <s v="US , CA"/>
    <x v="0"/>
    <x v="0"/>
    <x v="0"/>
    <x v="29"/>
    <s v="0806.10"/>
    <n v="266"/>
    <n v="120.655472"/>
    <n v="591.5"/>
  </r>
  <r>
    <s v="MATS3499430-000"/>
    <s v="US , CA"/>
    <x v="0"/>
    <x v="0"/>
    <x v="0"/>
    <x v="74"/>
    <s v="0807.19"/>
    <n v="88"/>
    <n v="39.916095999999996"/>
    <n v="90"/>
  </r>
  <r>
    <s v="MATS3499430-000"/>
    <s v="US , CA"/>
    <x v="0"/>
    <x v="0"/>
    <x v="0"/>
    <x v="24"/>
    <s v="0709.60"/>
    <n v="10"/>
    <n v="4.53592"/>
    <n v="26.75"/>
  </r>
  <r>
    <s v="MATS3499430-000"/>
    <s v="US , CA"/>
    <x v="0"/>
    <x v="0"/>
    <x v="0"/>
    <x v="39"/>
    <s v="0704.90"/>
    <n v="15.5"/>
    <n v="7.0306759999999997"/>
    <n v="26.25"/>
  </r>
  <r>
    <s v="MATS3499430-000"/>
    <s v="US , CA"/>
    <x v="0"/>
    <x v="0"/>
    <x v="0"/>
    <x v="65"/>
    <s v="0810.50"/>
    <n v="20"/>
    <n v="9.0718399999999999"/>
    <n v="42.5"/>
  </r>
  <r>
    <s v="MATS3499430-000"/>
    <s v="US , CA"/>
    <x v="0"/>
    <x v="0"/>
    <x v="0"/>
    <x v="64"/>
    <s v="0805.50"/>
    <n v="320"/>
    <n v="145.14944"/>
    <n v="308"/>
  </r>
  <r>
    <s v="MATS3499430-000"/>
    <s v="US , CA"/>
    <x v="0"/>
    <x v="0"/>
    <x v="0"/>
    <x v="23"/>
    <s v="0705.11"/>
    <n v="283"/>
    <n v="128.366536"/>
    <n v="385"/>
  </r>
  <r>
    <s v="MATS3499430-000"/>
    <s v="US , CA"/>
    <x v="0"/>
    <x v="0"/>
    <x v="0"/>
    <x v="23"/>
    <s v="0705.11"/>
    <n v="240"/>
    <n v="108.86207999999999"/>
    <n v="193"/>
  </r>
  <r>
    <s v="MATS3499430-000"/>
    <s v="US , CA"/>
    <x v="0"/>
    <x v="0"/>
    <x v="0"/>
    <x v="23"/>
    <s v="0705.11"/>
    <n v="160"/>
    <n v="72.574719999999999"/>
    <n v="186"/>
  </r>
  <r>
    <s v="MATS3499430-000"/>
    <s v="US , CA"/>
    <x v="0"/>
    <x v="0"/>
    <x v="0"/>
    <x v="23"/>
    <s v="0705.11"/>
    <n v="80"/>
    <n v="36.28736"/>
    <n v="178"/>
  </r>
  <r>
    <s v="MATS3499430-000"/>
    <s v="US , CA"/>
    <x v="0"/>
    <x v="0"/>
    <x v="0"/>
    <x v="69"/>
    <s v="0805.50"/>
    <n v="37.6"/>
    <n v="17.055059199999999"/>
    <n v="62.5"/>
  </r>
  <r>
    <s v="MATS3499430-000"/>
    <s v="US , CA"/>
    <x v="0"/>
    <x v="0"/>
    <x v="0"/>
    <x v="16"/>
    <s v="0804.50"/>
    <n v="188"/>
    <n v="85.275295999999997"/>
    <n v="490"/>
  </r>
  <r>
    <s v="MATS3499430-000"/>
    <s v="US , CA"/>
    <x v="0"/>
    <x v="0"/>
    <x v="0"/>
    <x v="10"/>
    <s v="0709.40"/>
    <n v="24"/>
    <n v="10.886208"/>
    <n v="94"/>
  </r>
  <r>
    <s v="MATS3499430-000"/>
    <s v="US , CA"/>
    <x v="0"/>
    <x v="0"/>
    <x v="0"/>
    <x v="10"/>
    <s v="0709.40"/>
    <n v="42"/>
    <n v="19.050864000000001"/>
    <n v="150.5"/>
  </r>
  <r>
    <s v="MATS3499430-000"/>
    <s v="US , CA"/>
    <x v="0"/>
    <x v="0"/>
    <x v="0"/>
    <x v="32"/>
    <s v="0703.10"/>
    <n v="75"/>
    <n v="34.019399999999997"/>
    <n v="115.5"/>
  </r>
  <r>
    <s v="MATS3499430-000"/>
    <s v="US , CA"/>
    <x v="0"/>
    <x v="0"/>
    <x v="0"/>
    <x v="32"/>
    <s v="0703.10"/>
    <n v="36"/>
    <n v="16.329312000000002"/>
    <n v="44.5"/>
  </r>
  <r>
    <s v="MATS3499430-000"/>
    <s v="US , CA"/>
    <x v="0"/>
    <x v="0"/>
    <x v="0"/>
    <x v="32"/>
    <s v="0703.10"/>
    <n v="750"/>
    <n v="340.19400000000002"/>
    <n v="472.5"/>
  </r>
  <r>
    <s v="MATS3499430-000"/>
    <s v="US , CA"/>
    <x v="0"/>
    <x v="0"/>
    <x v="0"/>
    <x v="14"/>
    <s v="0805.10"/>
    <n v="120"/>
    <n v="54.431039999999996"/>
    <n v="168.75"/>
  </r>
  <r>
    <s v="MATS3499430-000"/>
    <s v="US , CA"/>
    <x v="0"/>
    <x v="0"/>
    <x v="0"/>
    <x v="14"/>
    <s v="0805.10"/>
    <n v="160"/>
    <n v="72.574719999999999"/>
    <n v="230"/>
  </r>
  <r>
    <s v="MATS3499430-000"/>
    <s v="US , CA"/>
    <x v="0"/>
    <x v="0"/>
    <x v="0"/>
    <x v="47"/>
    <s v="0709.99"/>
    <n v="10.7"/>
    <n v="4.8534343999999994"/>
    <n v="24.5"/>
  </r>
  <r>
    <s v="MATS3499430-000"/>
    <s v="US , CA"/>
    <x v="0"/>
    <x v="0"/>
    <x v="0"/>
    <x v="80"/>
    <s v="0708.10"/>
    <n v="20"/>
    <n v="9.0718399999999999"/>
    <n v="97"/>
  </r>
  <r>
    <s v="MATS3499430-000"/>
    <s v="US , CA"/>
    <x v="0"/>
    <x v="0"/>
    <x v="0"/>
    <x v="75"/>
    <s v="0804.30"/>
    <n v="125"/>
    <n v="56.698999999999998"/>
    <n v="147.5"/>
  </r>
  <r>
    <s v="MATS3499430-000"/>
    <s v="US , CA"/>
    <x v="0"/>
    <x v="0"/>
    <x v="0"/>
    <x v="81"/>
    <s v="0809.40"/>
    <n v="28"/>
    <n v="12.700576"/>
    <n v="45"/>
  </r>
  <r>
    <s v="MATS3499430-000"/>
    <s v="US , CA"/>
    <x v="0"/>
    <x v="0"/>
    <x v="0"/>
    <x v="81"/>
    <s v="0809.40"/>
    <n v="28"/>
    <n v="12.700576"/>
    <n v="41.5"/>
  </r>
  <r>
    <s v="MATS3499430-000"/>
    <s v="US , CA"/>
    <x v="0"/>
    <x v="0"/>
    <x v="0"/>
    <x v="82"/>
    <s v="0810.90"/>
    <n v="40"/>
    <n v="18.14368"/>
    <n v="369"/>
  </r>
  <r>
    <s v="MATS3499430-000"/>
    <s v="US , CA"/>
    <x v="0"/>
    <x v="0"/>
    <x v="0"/>
    <x v="66"/>
    <s v="0701.00"/>
    <n v="600"/>
    <n v="272.15519999999998"/>
    <n v="288"/>
  </r>
  <r>
    <s v="MATS3499430-000"/>
    <s v="US , CA"/>
    <x v="0"/>
    <x v="0"/>
    <x v="0"/>
    <x v="66"/>
    <s v="0701.00"/>
    <n v="100"/>
    <n v="45.359200000000001"/>
    <n v="33.5"/>
  </r>
  <r>
    <s v="MATS3499430-000"/>
    <s v="US , CA"/>
    <x v="0"/>
    <x v="0"/>
    <x v="0"/>
    <x v="66"/>
    <s v="0701.00"/>
    <n v="100"/>
    <n v="45.359200000000001"/>
    <n v="30"/>
  </r>
  <r>
    <s v="MATS3499430-000"/>
    <s v="US , CA"/>
    <x v="0"/>
    <x v="0"/>
    <x v="0"/>
    <x v="66"/>
    <s v="0701.00"/>
    <n v="50"/>
    <n v="22.679600000000001"/>
    <n v="42.25"/>
  </r>
  <r>
    <s v="MATS3499430-000"/>
    <s v="US , CA"/>
    <x v="0"/>
    <x v="0"/>
    <x v="0"/>
    <x v="66"/>
    <s v="0701.00"/>
    <n v="50"/>
    <n v="22.679600000000001"/>
    <n v="49.5"/>
  </r>
  <r>
    <s v="MATS3499430-000"/>
    <s v="US , CA"/>
    <x v="0"/>
    <x v="0"/>
    <x v="0"/>
    <x v="20"/>
    <s v="0706.90"/>
    <n v="12"/>
    <n v="5.4431039999999999"/>
    <n v="24.75"/>
  </r>
  <r>
    <s v="MATS3499430-000"/>
    <s v="US , CA"/>
    <x v="0"/>
    <x v="0"/>
    <x v="0"/>
    <x v="17"/>
    <s v="0709.70"/>
    <n v="7"/>
    <n v="3.175144"/>
    <n v="34.5"/>
  </r>
  <r>
    <s v="MATS3499430-000"/>
    <s v="US , CA"/>
    <x v="0"/>
    <x v="0"/>
    <x v="0"/>
    <x v="17"/>
    <s v="0709.70"/>
    <n v="135"/>
    <n v="61.234920000000002"/>
    <n v="337.5"/>
  </r>
  <r>
    <s v="MATS3499430-000"/>
    <s v="US , CA"/>
    <x v="0"/>
    <x v="0"/>
    <x v="0"/>
    <x v="25"/>
    <s v="0709.93"/>
    <n v="75"/>
    <n v="34.019399999999997"/>
    <n v="103.5"/>
  </r>
  <r>
    <s v="MATS3499430-000"/>
    <s v="US , CA"/>
    <x v="0"/>
    <x v="0"/>
    <x v="0"/>
    <x v="83"/>
    <s v="0810.90"/>
    <n v="16"/>
    <n v="7.2574719999999999"/>
    <n v="69.25"/>
  </r>
  <r>
    <s v="MATS3499430-000"/>
    <s v="US , CA"/>
    <x v="0"/>
    <x v="0"/>
    <x v="0"/>
    <x v="84"/>
    <s v="0805.21"/>
    <n v="120"/>
    <n v="54.431039999999996"/>
    <n v="210"/>
  </r>
  <r>
    <s v="MATS3499430-000"/>
    <s v="US , CA"/>
    <x v="0"/>
    <x v="0"/>
    <x v="0"/>
    <x v="84"/>
    <s v="0805.21"/>
    <n v="44"/>
    <n v="19.958047999999998"/>
    <n v="86.5"/>
  </r>
  <r>
    <s v="MATS3499430-000"/>
    <s v="US , CA"/>
    <x v="0"/>
    <x v="0"/>
    <x v="0"/>
    <x v="11"/>
    <s v="0702.00"/>
    <n v="110"/>
    <n v="49.895119999999999"/>
    <n v="232.5"/>
  </r>
  <r>
    <s v="MATS3499430-000"/>
    <s v="US , CA"/>
    <x v="0"/>
    <x v="0"/>
    <x v="0"/>
    <x v="11"/>
    <s v="0702.00"/>
    <n v="53.2"/>
    <n v="24.131094400000002"/>
    <n v="219"/>
  </r>
  <r>
    <s v="MATS3499430-000"/>
    <s v="US , CA"/>
    <x v="0"/>
    <x v="0"/>
    <x v="0"/>
    <x v="11"/>
    <s v="0702.00"/>
    <n v="39.36"/>
    <n v="17.853381119999998"/>
    <n v="190"/>
  </r>
  <r>
    <s v="MATS3499430-000"/>
    <s v="US , CA"/>
    <x v="0"/>
    <x v="0"/>
    <x v="0"/>
    <x v="11"/>
    <s v="0702.00"/>
    <n v="35.6"/>
    <n v="16.147875200000001"/>
    <n v="219"/>
  </r>
  <r>
    <s v="MATS3499430-000"/>
    <s v="US , CA"/>
    <x v="0"/>
    <x v="0"/>
    <x v="0"/>
    <x v="11"/>
    <s v="0702.00"/>
    <n v="125"/>
    <n v="56.698999999999998"/>
    <n v="192.5"/>
  </r>
  <r>
    <s v="MATS3499430-000"/>
    <s v="US , CA"/>
    <x v="0"/>
    <x v="0"/>
    <x v="0"/>
    <x v="76"/>
    <s v="0807.11"/>
    <n v="186.8"/>
    <n v="84.730985600000011"/>
    <n v="139"/>
  </r>
  <r>
    <s v="MATS3499430-000"/>
    <s v="US , CA"/>
    <x v="0"/>
    <x v="0"/>
    <x v="0"/>
    <x v="76"/>
    <s v="0807.11"/>
    <n v="346"/>
    <n v="156.94283200000001"/>
    <n v="227.5"/>
  </r>
  <r>
    <s v="MATS3499430-000"/>
    <s v="US , CA"/>
    <x v="0"/>
    <x v="0"/>
    <x v="0"/>
    <x v="63"/>
    <s v="0714.30"/>
    <n v="456"/>
    <n v="206.837952"/>
    <n v="690"/>
  </r>
  <r>
    <s v="MATS3499430-000"/>
    <s v="US , CA"/>
    <x v="0"/>
    <x v="0"/>
    <x v="0"/>
    <x v="11"/>
    <s v="0702.00"/>
    <n v="10"/>
    <n v="4.53592"/>
    <n v="36.75"/>
  </r>
  <r>
    <s v="MATS3499430-000"/>
    <s v="US , CA"/>
    <x v="0"/>
    <x v="0"/>
    <x v="0"/>
    <x v="35"/>
    <s v="0704.10"/>
    <n v="630"/>
    <n v="285.76296000000002"/>
    <n v="364"/>
  </r>
  <r>
    <s v="MATS3499430-000"/>
    <s v="US , CA"/>
    <x v="0"/>
    <x v="0"/>
    <x v="0"/>
    <x v="35"/>
    <s v="0704.10"/>
    <n v="750"/>
    <n v="340.19400000000002"/>
    <n v="270"/>
  </r>
  <r>
    <s v="MATS3499430-000"/>
    <s v="US , CA"/>
    <x v="0"/>
    <x v="0"/>
    <x v="0"/>
    <x v="12"/>
    <s v="0706.10"/>
    <n v="100"/>
    <n v="45.359200000000001"/>
    <n v="72"/>
  </r>
  <r>
    <s v="MATS3499430-000"/>
    <s v="US , CA"/>
    <x v="0"/>
    <x v="0"/>
    <x v="0"/>
    <x v="43"/>
    <s v="0703.20"/>
    <n v="30"/>
    <n v="13.607759999999999"/>
    <n v="95"/>
  </r>
  <r>
    <s v="MATS3499430-000"/>
    <s v="US , CA"/>
    <x v="0"/>
    <x v="0"/>
    <x v="0"/>
    <x v="25"/>
    <s v="0709.93"/>
    <n v="105"/>
    <n v="47.627159999999996"/>
    <n v="54"/>
  </r>
  <r>
    <s v="MATS3499430-000"/>
    <s v="US , CA"/>
    <x v="0"/>
    <x v="0"/>
    <x v="0"/>
    <x v="20"/>
    <s v="0706.90"/>
    <n v="400"/>
    <n v="181.43680000000001"/>
    <n v="140"/>
  </r>
  <r>
    <s v="MATS3499430-000"/>
    <s v="US , CA"/>
    <x v="0"/>
    <x v="0"/>
    <x v="0"/>
    <x v="85"/>
    <s v="0714.90"/>
    <n v="40"/>
    <n v="18.14368"/>
    <n v="60"/>
  </r>
  <r>
    <s v="MATS3499430-000"/>
    <s v="US , CA"/>
    <x v="0"/>
    <x v="0"/>
    <x v="0"/>
    <x v="10"/>
    <s v="0709.40"/>
    <n v="6"/>
    <n v="2.721552"/>
    <n v="45"/>
  </r>
  <r>
    <s v="MATS3499430-000"/>
    <s v="US , CA"/>
    <x v="0"/>
    <x v="0"/>
    <x v="0"/>
    <x v="10"/>
    <s v="0709.40"/>
    <n v="6"/>
    <n v="2.721552"/>
    <n v="45"/>
  </r>
  <r>
    <s v="MATS3499430-000"/>
    <s v="US , CA"/>
    <x v="0"/>
    <x v="0"/>
    <x v="0"/>
    <x v="10"/>
    <s v="0709.40"/>
    <n v="12"/>
    <n v="5.4431039999999999"/>
    <n v="43"/>
  </r>
  <r>
    <s v="MATS3499430-000"/>
    <s v="US , CA"/>
    <x v="0"/>
    <x v="0"/>
    <x v="0"/>
    <x v="63"/>
    <s v="0714.30"/>
    <n v="22"/>
    <n v="9.979023999999999"/>
    <n v="68"/>
  </r>
  <r>
    <s v="MATS3499430-000"/>
    <s v="US , CA"/>
    <x v="0"/>
    <x v="0"/>
    <x v="0"/>
    <x v="32"/>
    <s v="0703.10"/>
    <n v="75"/>
    <n v="34.019399999999997"/>
    <n v="115.5"/>
  </r>
  <r>
    <s v="MATS3499430-000"/>
    <s v="US , CA"/>
    <x v="0"/>
    <x v="0"/>
    <x v="0"/>
    <x v="35"/>
    <s v="0704.90"/>
    <n v="50"/>
    <n v="22.679600000000001"/>
    <n v="88"/>
  </r>
  <r>
    <s v="MATS3499430-000"/>
    <s v="US , CA"/>
    <x v="0"/>
    <x v="0"/>
    <x v="0"/>
    <x v="2"/>
    <s v="0704.90"/>
    <n v="30"/>
    <n v="13.607759999999999"/>
    <n v="68"/>
  </r>
  <r>
    <s v="MATS3499430-000"/>
    <s v="US , CA"/>
    <x v="0"/>
    <x v="0"/>
    <x v="0"/>
    <x v="77"/>
    <s v="0910.11"/>
    <n v="180"/>
    <n v="81.646559999999994"/>
    <n v="192"/>
  </r>
  <r>
    <s v="MATS3499430-000"/>
    <s v="US , CA"/>
    <x v="0"/>
    <x v="0"/>
    <x v="0"/>
    <x v="22"/>
    <s v="0703.90"/>
    <n v="420"/>
    <n v="190.50863999999999"/>
    <n v="480"/>
  </r>
  <r>
    <s v="MATS3499430-000"/>
    <s v="US , CA"/>
    <x v="0"/>
    <x v="0"/>
    <x v="0"/>
    <x v="30"/>
    <s v="0807.20"/>
    <n v="60"/>
    <n v="27.215519999999998"/>
    <n v="64"/>
  </r>
  <r>
    <s v="MATS3499430-000"/>
    <s v="US , CA"/>
    <x v="0"/>
    <x v="0"/>
    <x v="0"/>
    <x v="17"/>
    <s v="0709.70"/>
    <n v="40"/>
    <n v="18.14368"/>
    <n v="106"/>
  </r>
  <r>
    <s v="MATS3499430-000"/>
    <s v="US , CA"/>
    <x v="0"/>
    <x v="0"/>
    <x v="0"/>
    <x v="86"/>
    <s v="0801.19"/>
    <n v="22"/>
    <n v="9.979023999999999"/>
    <n v="13"/>
  </r>
  <r>
    <s v="MATS3499430-000"/>
    <s v="US , CA"/>
    <x v="0"/>
    <x v="0"/>
    <x v="0"/>
    <x v="57"/>
    <s v="0808.10"/>
    <n v="38.200000000000003"/>
    <n v="17.327214400000003"/>
    <n v="80"/>
  </r>
  <r>
    <s v="MATS3499430-000"/>
    <s v="US , CA"/>
    <x v="0"/>
    <x v="0"/>
    <x v="0"/>
    <x v="57"/>
    <s v="0808.10"/>
    <n v="122"/>
    <n v="55.338223999999997"/>
    <n v="172"/>
  </r>
  <r>
    <s v="MATS3499430-000"/>
    <s v="US , CA"/>
    <x v="0"/>
    <x v="0"/>
    <x v="0"/>
    <x v="57"/>
    <s v="0808.10"/>
    <n v="68.2"/>
    <n v="30.934974400000002"/>
    <n v="186"/>
  </r>
  <r>
    <s v="MATS3499430-000"/>
    <s v="US , CA"/>
    <x v="0"/>
    <x v="0"/>
    <x v="0"/>
    <x v="24"/>
    <s v="0709.60"/>
    <n v="52"/>
    <n v="23.586784000000002"/>
    <n v="152"/>
  </r>
  <r>
    <s v="MATS3499430-000"/>
    <s v="US , CA"/>
    <x v="0"/>
    <x v="0"/>
    <x v="0"/>
    <x v="36"/>
    <s v="0709.99"/>
    <n v="14"/>
    <n v="6.3502879999999999"/>
    <n v="40"/>
  </r>
  <r>
    <s v="MATS3499430-000"/>
    <s v="US , CA"/>
    <x v="0"/>
    <x v="0"/>
    <x v="0"/>
    <x v="77"/>
    <s v="0910.11"/>
    <n v="10"/>
    <n v="4.53592"/>
    <n v="40"/>
  </r>
  <r>
    <s v="MATS3499430-000"/>
    <s v="US , CA"/>
    <x v="0"/>
    <x v="0"/>
    <x v="0"/>
    <x v="61"/>
    <s v="0805.21"/>
    <n v="120"/>
    <n v="54.431039999999996"/>
    <n v="160"/>
  </r>
  <r>
    <s v="MATS3499430-000"/>
    <s v="US , CA"/>
    <x v="0"/>
    <x v="0"/>
    <x v="0"/>
    <x v="66"/>
    <s v="0701.00"/>
    <n v="25"/>
    <n v="11.3398"/>
    <n v="32"/>
  </r>
  <r>
    <s v="MATS3499430-000"/>
    <s v="US , CA"/>
    <x v="0"/>
    <x v="0"/>
    <x v="0"/>
    <x v="60"/>
    <s v="0714.20"/>
    <n v="118"/>
    <n v="53.523856000000002"/>
    <n v="195"/>
  </r>
  <r>
    <s v="MATS3499430-000"/>
    <s v="US , CA"/>
    <x v="0"/>
    <x v="0"/>
    <x v="0"/>
    <x v="60"/>
    <s v="0714.20"/>
    <n v="117"/>
    <n v="53.070264000000002"/>
    <n v="180"/>
  </r>
  <r>
    <s v="MATS5179174-000"/>
    <s v="US , CA"/>
    <x v="0"/>
    <x v="0"/>
    <x v="0"/>
    <x v="57"/>
    <s v="0808.10"/>
    <n v="76"/>
    <n v="34.472991999999998"/>
    <n v="70.5"/>
  </r>
  <r>
    <s v="MATS5179174-000"/>
    <s v="US , CA"/>
    <x v="0"/>
    <x v="0"/>
    <x v="0"/>
    <x v="57"/>
    <s v="0808.10"/>
    <n v="1064"/>
    <n v="482.62188800000001"/>
    <n v="749"/>
  </r>
  <r>
    <s v="MATS5179174-000"/>
    <s v="US , CA"/>
    <x v="0"/>
    <x v="0"/>
    <x v="0"/>
    <x v="57"/>
    <s v="0808.10"/>
    <n v="114"/>
    <n v="51.709488"/>
    <n v="120.45"/>
  </r>
  <r>
    <s v="MATS5179174-000"/>
    <s v="US , CA"/>
    <x v="0"/>
    <x v="0"/>
    <x v="0"/>
    <x v="35"/>
    <s v="0704.90"/>
    <n v="50"/>
    <n v="22.679600000000001"/>
    <n v="48.8"/>
  </r>
  <r>
    <s v="MATS5179174-000"/>
    <s v="US , CA"/>
    <x v="0"/>
    <x v="0"/>
    <x v="0"/>
    <x v="35"/>
    <s v="0704.90"/>
    <n v="50"/>
    <n v="22.679600000000001"/>
    <n v="48.8"/>
  </r>
  <r>
    <s v="MATS5179174-000"/>
    <s v="US , CA"/>
    <x v="0"/>
    <x v="0"/>
    <x v="0"/>
    <x v="35"/>
    <s v="0704.90"/>
    <n v="165"/>
    <n v="74.842680000000001"/>
    <n v="84.15"/>
  </r>
  <r>
    <s v="MATS5179174-000"/>
    <s v="US , CA"/>
    <x v="0"/>
    <x v="0"/>
    <x v="0"/>
    <x v="65"/>
    <s v="0810.50"/>
    <n v="259"/>
    <n v="117.480328"/>
    <n v="222"/>
  </r>
  <r>
    <s v="MATS5179174-000"/>
    <s v="US , CA"/>
    <x v="0"/>
    <x v="0"/>
    <x v="0"/>
    <x v="72"/>
    <s v="0808.30"/>
    <n v="216"/>
    <n v="97.975871999999995"/>
    <n v="233.4"/>
  </r>
  <r>
    <s v="MATS5179174-000"/>
    <s v="US , CA"/>
    <x v="0"/>
    <x v="0"/>
    <x v="0"/>
    <x v="43"/>
    <s v="0703.20"/>
    <n v="30"/>
    <n v="13.607759999999999"/>
    <n v="98.1"/>
  </r>
  <r>
    <s v="MATS5179174-000"/>
    <s v="US , CA"/>
    <x v="0"/>
    <x v="0"/>
    <x v="0"/>
    <x v="14"/>
    <s v="0805.10"/>
    <n v="1040"/>
    <n v="471.73568"/>
    <n v="1158.3"/>
  </r>
  <r>
    <s v="MATS5179174-000"/>
    <s v="US , CA"/>
    <x v="0"/>
    <x v="0"/>
    <x v="0"/>
    <x v="12"/>
    <s v="0706.10"/>
    <n v="500"/>
    <n v="226.79599999999999"/>
    <n v="366"/>
  </r>
  <r>
    <s v="MATS5179174-000"/>
    <s v="US , CA"/>
    <x v="0"/>
    <x v="0"/>
    <x v="0"/>
    <x v="73"/>
    <s v="0807.19"/>
    <n v="3276"/>
    <n v="1485.967392"/>
    <n v="2217.15"/>
  </r>
  <r>
    <s v="MATS5179174-000"/>
    <s v="US , CA"/>
    <x v="0"/>
    <x v="0"/>
    <x v="0"/>
    <x v="77"/>
    <s v="0910.11"/>
    <n v="30"/>
    <n v="13.607759999999999"/>
    <n v="88.25"/>
  </r>
  <r>
    <s v="MATS5179174-000"/>
    <s v="US , CA"/>
    <x v="0"/>
    <x v="0"/>
    <x v="0"/>
    <x v="67"/>
    <s v="0805.40"/>
    <n v="266"/>
    <n v="120.655472"/>
    <n v="414.05"/>
  </r>
  <r>
    <s v="MATS5179174-000"/>
    <s v="US , CA"/>
    <x v="0"/>
    <x v="0"/>
    <x v="0"/>
    <x v="74"/>
    <s v="0807.19"/>
    <n v="2380"/>
    <n v="1079.5489600000001"/>
    <n v="1610.75"/>
  </r>
  <r>
    <s v="MATS5179174-000"/>
    <s v="US , CA"/>
    <x v="0"/>
    <x v="0"/>
    <x v="0"/>
    <x v="64"/>
    <s v="0805.50"/>
    <n v="280"/>
    <n v="127.00576"/>
    <n v="290.5"/>
  </r>
  <r>
    <s v="MATS5179174-000"/>
    <s v="US , CA"/>
    <x v="0"/>
    <x v="0"/>
    <x v="0"/>
    <x v="32"/>
    <s v="0703.10"/>
    <n v="75"/>
    <n v="34.019399999999997"/>
    <n v="115.5"/>
  </r>
  <r>
    <s v="MATS5179174-000"/>
    <s v="US , CA"/>
    <x v="0"/>
    <x v="0"/>
    <x v="0"/>
    <x v="32"/>
    <s v="0703.10"/>
    <n v="75"/>
    <n v="34.019399999999997"/>
    <n v="115.5"/>
  </r>
  <r>
    <s v="MATS5179174-000"/>
    <s v="US , CA"/>
    <x v="0"/>
    <x v="0"/>
    <x v="0"/>
    <x v="66"/>
    <s v="0701.00"/>
    <n v="250"/>
    <n v="113.398"/>
    <n v="137.25"/>
  </r>
  <r>
    <s v="MATS5179174-000"/>
    <s v="US , CA"/>
    <x v="0"/>
    <x v="0"/>
    <x v="0"/>
    <x v="66"/>
    <s v="0701.00"/>
    <n v="80"/>
    <n v="36.28736"/>
    <n v="69.599999999999994"/>
  </r>
  <r>
    <s v="MATS5179174-000"/>
    <s v="US , CA"/>
    <x v="0"/>
    <x v="0"/>
    <x v="0"/>
    <x v="66"/>
    <s v="0701.00"/>
    <n v="500"/>
    <n v="226.79599999999999"/>
    <n v="146.5"/>
  </r>
  <r>
    <s v="MATS5179174-000"/>
    <s v="US , CA"/>
    <x v="0"/>
    <x v="0"/>
    <x v="0"/>
    <x v="66"/>
    <s v="0701.00"/>
    <n v="300"/>
    <n v="136.07759999999999"/>
    <n v="99"/>
  </r>
  <r>
    <s v="MATS5179174-000"/>
    <s v="US , CA"/>
    <x v="0"/>
    <x v="0"/>
    <x v="0"/>
    <x v="76"/>
    <s v="0807.11"/>
    <n v="1480"/>
    <n v="671.31615999999997"/>
    <n v="976"/>
  </r>
  <r>
    <s v="MATS5256282-000"/>
    <s v="US , CA"/>
    <x v="0"/>
    <x v="0"/>
    <x v="0"/>
    <x v="0"/>
    <s v="0709.20"/>
    <n v="770"/>
    <n v="349.26583999999997"/>
    <n v="2625"/>
  </r>
  <r>
    <s v="MATS5256282-000"/>
    <s v="US , CA"/>
    <x v="0"/>
    <x v="0"/>
    <x v="0"/>
    <x v="58"/>
    <s v="0706.90"/>
    <n v="200"/>
    <n v="90.718400000000003"/>
    <n v="282.95999999999998"/>
  </r>
  <r>
    <s v="MATS5256282-000"/>
    <s v="US , CA"/>
    <x v="0"/>
    <x v="0"/>
    <x v="0"/>
    <x v="58"/>
    <s v="0706.90"/>
    <n v="350"/>
    <n v="158.75720000000001"/>
    <n v="256.06"/>
  </r>
  <r>
    <s v="MATS5256282-000"/>
    <s v="US , CA"/>
    <x v="0"/>
    <x v="0"/>
    <x v="0"/>
    <x v="2"/>
    <s v="0704.90"/>
    <n v="3996"/>
    <n v="1812.5536319999999"/>
    <n v="8797.86"/>
  </r>
  <r>
    <s v="MATS5256282-000"/>
    <s v="US , CA"/>
    <x v="0"/>
    <x v="0"/>
    <x v="0"/>
    <x v="3"/>
    <s v="0704.20"/>
    <n v="475"/>
    <n v="215.4562"/>
    <n v="648.85"/>
  </r>
  <r>
    <s v="MATS5256282-000"/>
    <s v="US , CA"/>
    <x v="0"/>
    <x v="0"/>
    <x v="0"/>
    <x v="35"/>
    <s v="0704.90"/>
    <n v="2850"/>
    <n v="1292.7372"/>
    <n v="1703.16"/>
  </r>
  <r>
    <s v="MATS5256282-000"/>
    <s v="US , CA"/>
    <x v="0"/>
    <x v="0"/>
    <x v="0"/>
    <x v="35"/>
    <s v="0704.90"/>
    <n v="3080"/>
    <n v="1397.0633599999999"/>
    <n v="1963.36"/>
  </r>
  <r>
    <s v="MATS5256282-000"/>
    <s v="US , CA"/>
    <x v="0"/>
    <x v="0"/>
    <x v="0"/>
    <x v="70"/>
    <s v="0704.90"/>
    <n v="1148"/>
    <n v="520.72361599999999"/>
    <n v="1599.82"/>
  </r>
  <r>
    <s v="MATS5256282-000"/>
    <s v="US , CA"/>
    <x v="0"/>
    <x v="0"/>
    <x v="0"/>
    <x v="35"/>
    <s v="0704.90"/>
    <n v="650"/>
    <n v="294.83479999999997"/>
    <n v="412.23"/>
  </r>
  <r>
    <s v="MATS5256282-000"/>
    <s v="US , CA"/>
    <x v="0"/>
    <x v="0"/>
    <x v="0"/>
    <x v="2"/>
    <s v="0704.90"/>
    <n v="54"/>
    <n v="24.493967999999999"/>
    <n v="123.84"/>
  </r>
  <r>
    <s v="MATS5256282-000"/>
    <s v="US , CA"/>
    <x v="0"/>
    <x v="0"/>
    <x v="0"/>
    <x v="2"/>
    <s v="0704.90"/>
    <n v="72"/>
    <n v="32.658624000000003"/>
    <n v="165.12"/>
  </r>
  <r>
    <s v="MATS5256282-000"/>
    <s v="US , CA"/>
    <x v="0"/>
    <x v="0"/>
    <x v="0"/>
    <x v="53"/>
    <s v="0704.90"/>
    <n v="480"/>
    <n v="217.72415999999998"/>
    <n v="731.7"/>
  </r>
  <r>
    <s v="MATS5256282-000"/>
    <s v="US , CA"/>
    <x v="0"/>
    <x v="0"/>
    <x v="0"/>
    <x v="36"/>
    <s v="0709.99"/>
    <n v="600"/>
    <n v="272.15519999999998"/>
    <n v="823.2"/>
  </r>
  <r>
    <s v="MATS5256282-000"/>
    <s v="US , CA"/>
    <x v="0"/>
    <x v="0"/>
    <x v="0"/>
    <x v="36"/>
    <s v="0709.99"/>
    <n v="480"/>
    <n v="217.72415999999998"/>
    <n v="739.08"/>
  </r>
  <r>
    <s v="MATS5256282-000"/>
    <s v="US , CA"/>
    <x v="0"/>
    <x v="0"/>
    <x v="0"/>
    <x v="5"/>
    <s v="0810.40"/>
    <n v="1176"/>
    <n v="533.42419199999995"/>
    <n v="2330.44"/>
  </r>
  <r>
    <s v="MATS5256282-000"/>
    <s v="US , CA"/>
    <x v="0"/>
    <x v="0"/>
    <x v="0"/>
    <x v="87"/>
    <s v="0709.99"/>
    <n v="210"/>
    <n v="95.254319999999993"/>
    <n v="251.37"/>
  </r>
  <r>
    <s v="MATS5256282-000"/>
    <s v="US , CA"/>
    <x v="0"/>
    <x v="0"/>
    <x v="0"/>
    <x v="77"/>
    <s v="0910.11"/>
    <n v="1950"/>
    <n v="884.50440000000003"/>
    <n v="3329.3"/>
  </r>
  <r>
    <s v="MATS5256282-000"/>
    <s v="US , CA"/>
    <x v="0"/>
    <x v="0"/>
    <x v="0"/>
    <x v="39"/>
    <s v="0704.90"/>
    <n v="636"/>
    <n v="288.484512"/>
    <n v="1066.3599999999999"/>
  </r>
  <r>
    <s v="MATS5256282-000"/>
    <s v="US , CA"/>
    <x v="0"/>
    <x v="0"/>
    <x v="0"/>
    <x v="23"/>
    <s v="0705.11"/>
    <n v="50"/>
    <n v="22.679600000000001"/>
    <n v="95"/>
  </r>
  <r>
    <s v="MATS5256282-000"/>
    <s v="US , CA"/>
    <x v="0"/>
    <x v="0"/>
    <x v="0"/>
    <x v="22"/>
    <s v="0703.90"/>
    <n v="80"/>
    <n v="36.28736"/>
    <n v="136.6"/>
  </r>
  <r>
    <s v="MATS5256282-000"/>
    <s v="US , CA"/>
    <x v="0"/>
    <x v="0"/>
    <x v="0"/>
    <x v="22"/>
    <s v="0703.90"/>
    <n v="3400"/>
    <n v="1542.2128"/>
    <n v="3432.3"/>
  </r>
  <r>
    <s v="MATS5256282-000"/>
    <s v="US , CA"/>
    <x v="0"/>
    <x v="0"/>
    <x v="0"/>
    <x v="22"/>
    <s v="0703.90"/>
    <n v="345"/>
    <n v="156.48924"/>
    <n v="658.5"/>
  </r>
  <r>
    <s v="MATS5256282-000"/>
    <s v="US , CA"/>
    <x v="0"/>
    <x v="0"/>
    <x v="0"/>
    <x v="2"/>
    <s v="0704.90"/>
    <n v="18"/>
    <n v="8.1646560000000008"/>
    <n v="42.5"/>
  </r>
  <r>
    <s v="MATS5256282-000"/>
    <s v="US , CA"/>
    <x v="0"/>
    <x v="0"/>
    <x v="0"/>
    <x v="47"/>
    <s v="0709.99"/>
    <n v="72"/>
    <n v="32.658624000000003"/>
    <n v="134.16"/>
  </r>
  <r>
    <s v="MATS5256282-000"/>
    <s v="US , CA"/>
    <x v="0"/>
    <x v="0"/>
    <x v="0"/>
    <x v="47"/>
    <s v="0709.99"/>
    <n v="108"/>
    <n v="48.987935999999998"/>
    <n v="197.55"/>
  </r>
  <r>
    <s v="MATS5256282-000"/>
    <s v="US , CA"/>
    <x v="0"/>
    <x v="0"/>
    <x v="0"/>
    <x v="80"/>
    <s v="0708.10"/>
    <n v="170"/>
    <n v="77.110640000000004"/>
    <n v="642.6"/>
  </r>
  <r>
    <s v="MATS5256282-000"/>
    <s v="US , CA"/>
    <x v="0"/>
    <x v="0"/>
    <x v="0"/>
    <x v="34"/>
    <s v="0709.60"/>
    <n v="50"/>
    <n v="22.679600000000001"/>
    <n v="91.45"/>
  </r>
  <r>
    <s v="MATS5256282-000"/>
    <s v="US , CA"/>
    <x v="0"/>
    <x v="0"/>
    <x v="0"/>
    <x v="34"/>
    <s v="0709.60"/>
    <n v="40"/>
    <n v="18.14368"/>
    <n v="146.36000000000001"/>
  </r>
  <r>
    <s v="MATS5256282-000"/>
    <s v="US , CA"/>
    <x v="0"/>
    <x v="0"/>
    <x v="0"/>
    <x v="34"/>
    <s v="0709.60"/>
    <n v="220"/>
    <n v="99.790239999999997"/>
    <n v="342.1"/>
  </r>
  <r>
    <s v="MATS5256282-000"/>
    <s v="US , CA"/>
    <x v="0"/>
    <x v="0"/>
    <x v="0"/>
    <x v="34"/>
    <s v="0709.60"/>
    <n v="20"/>
    <n v="9.0718399999999999"/>
    <n v="102.44"/>
  </r>
  <r>
    <s v="MATS5256282-000"/>
    <s v="US , CA"/>
    <x v="0"/>
    <x v="0"/>
    <x v="0"/>
    <x v="34"/>
    <s v="0709.60"/>
    <n v="110"/>
    <n v="49.895119999999999"/>
    <n v="187.77"/>
  </r>
  <r>
    <s v="MATS5256282-000"/>
    <s v="US , CA"/>
    <x v="0"/>
    <x v="0"/>
    <x v="0"/>
    <x v="20"/>
    <s v="0706.90"/>
    <n v="840"/>
    <n v="381.01727999999997"/>
    <n v="384.09"/>
  </r>
  <r>
    <s v="MATS5256282-000"/>
    <s v="US , CA"/>
    <x v="0"/>
    <x v="0"/>
    <x v="0"/>
    <x v="20"/>
    <s v="0706.90"/>
    <n v="11"/>
    <n v="4.9895119999999995"/>
    <n v="25.61"/>
  </r>
  <r>
    <s v="MATS5256282-000"/>
    <s v="US , CA"/>
    <x v="0"/>
    <x v="0"/>
    <x v="0"/>
    <x v="20"/>
    <s v="0706.90"/>
    <n v="100"/>
    <n v="45.359200000000001"/>
    <n v="121.96"/>
  </r>
  <r>
    <s v="MATS5256282-000"/>
    <s v="US , CA"/>
    <x v="0"/>
    <x v="0"/>
    <x v="0"/>
    <x v="25"/>
    <s v="0709.93"/>
    <n v="24"/>
    <n v="10.886208"/>
    <n v="26.83"/>
  </r>
  <r>
    <s v="MATS5256282-000"/>
    <s v="US , CA"/>
    <x v="0"/>
    <x v="0"/>
    <x v="0"/>
    <x v="88"/>
    <s v="0714.40"/>
    <n v="624"/>
    <n v="283.04140799999999"/>
    <n v="1287.8399999999999"/>
  </r>
  <r>
    <s v="MATS5256282-000"/>
    <s v="US , CA"/>
    <x v="0"/>
    <x v="0"/>
    <x v="0"/>
    <x v="86"/>
    <s v="0801.19"/>
    <n v="18"/>
    <n v="8.1646560000000008"/>
    <n v="18.29"/>
  </r>
  <r>
    <s v="MATS5256282-000"/>
    <s v="US , CA"/>
    <x v="0"/>
    <x v="0"/>
    <x v="0"/>
    <x v="68"/>
    <s v="0709.99"/>
    <n v="30"/>
    <n v="13.607759999999999"/>
    <n v="54.87"/>
  </r>
  <r>
    <s v="MATS5256282-000"/>
    <s v="US , CA"/>
    <x v="0"/>
    <x v="0"/>
    <x v="0"/>
    <x v="77"/>
    <s v="0910.11"/>
    <n v="10"/>
    <n v="4.53592"/>
    <n v="85.36"/>
  </r>
  <r>
    <s v="MATS5256282-000"/>
    <s v="US , CA"/>
    <x v="0"/>
    <x v="0"/>
    <x v="0"/>
    <x v="18"/>
    <s v="0706.10"/>
    <n v="50"/>
    <n v="22.679600000000001"/>
    <n v="68.3"/>
  </r>
  <r>
    <s v="MATS6235608-000"/>
    <s v="US , CA"/>
    <x v="0"/>
    <x v="0"/>
    <x v="0"/>
    <x v="27"/>
    <s v="0804.40"/>
    <n v="1800"/>
    <n v="816.46559999999999"/>
    <n v="4536"/>
  </r>
  <r>
    <s v="MATS6235608-000"/>
    <s v="US , CA"/>
    <x v="0"/>
    <x v="0"/>
    <x v="0"/>
    <x v="29"/>
    <s v="0806.10"/>
    <n v="2375"/>
    <n v="1077.2809999999999"/>
    <n v="4625"/>
  </r>
  <r>
    <s v="MATS6235608-000"/>
    <s v="US , CA"/>
    <x v="0"/>
    <x v="0"/>
    <x v="0"/>
    <x v="29"/>
    <s v="0806.10"/>
    <n v="2850"/>
    <n v="1292.7372"/>
    <n v="5325"/>
  </r>
  <r>
    <s v="MATS6235608-000"/>
    <s v="US , CA"/>
    <x v="0"/>
    <x v="0"/>
    <x v="0"/>
    <x v="64"/>
    <s v="0805.50"/>
    <n v="2052"/>
    <n v="930.77078399999994"/>
    <n v="1930.5"/>
  </r>
  <r>
    <s v="MATS6235608-000"/>
    <s v="US , CA"/>
    <x v="0"/>
    <x v="0"/>
    <x v="0"/>
    <x v="69"/>
    <s v="0805.50"/>
    <n v="2000"/>
    <n v="907.18399999999997"/>
    <n v="1700"/>
  </r>
  <r>
    <s v="MATS6235608-000"/>
    <s v="US , CA"/>
    <x v="0"/>
    <x v="0"/>
    <x v="0"/>
    <x v="73"/>
    <s v="0807.19"/>
    <n v="2016"/>
    <n v="914.44147199999998"/>
    <n v="1428"/>
  </r>
  <r>
    <s v="MATS6235608-000"/>
    <s v="US , CA"/>
    <x v="0"/>
    <x v="0"/>
    <x v="0"/>
    <x v="76"/>
    <s v="0807.11"/>
    <n v="1920"/>
    <n v="870.89663999999993"/>
    <n v="1008"/>
  </r>
  <r>
    <s v="MATS6235608-000"/>
    <s v="US , CA"/>
    <x v="0"/>
    <x v="0"/>
    <x v="0"/>
    <x v="75"/>
    <s v="0804.30"/>
    <n v="1875"/>
    <n v="850.48500000000001"/>
    <n v="1650"/>
  </r>
  <r>
    <s v="MATS6235608-000"/>
    <s v="US , CA"/>
    <x v="0"/>
    <x v="0"/>
    <x v="0"/>
    <x v="0"/>
    <s v="0709.20"/>
    <n v="220"/>
    <n v="99.790239999999997"/>
    <n v="760"/>
  </r>
  <r>
    <s v="MATS6235608-000"/>
    <s v="US , CA"/>
    <x v="0"/>
    <x v="0"/>
    <x v="0"/>
    <x v="34"/>
    <s v="0709.60"/>
    <n v="220"/>
    <n v="99.790239999999997"/>
    <n v="590"/>
  </r>
  <r>
    <s v="MATS6235608-000"/>
    <s v="US , CA"/>
    <x v="0"/>
    <x v="0"/>
    <x v="0"/>
    <x v="34"/>
    <s v="0709.60"/>
    <n v="1092"/>
    <n v="495.32246399999997"/>
    <n v="2128"/>
  </r>
  <r>
    <s v="MATS6235608-000"/>
    <s v="US , CA"/>
    <x v="0"/>
    <x v="0"/>
    <x v="0"/>
    <x v="34"/>
    <s v="0709.60"/>
    <n v="220"/>
    <n v="99.790239999999997"/>
    <n v="590"/>
  </r>
  <r>
    <s v="MATS6235608-000"/>
    <s v="US , CA"/>
    <x v="0"/>
    <x v="0"/>
    <x v="0"/>
    <x v="34"/>
    <s v="0709.60"/>
    <n v="546"/>
    <n v="247.66123199999998"/>
    <n v="1260"/>
  </r>
  <r>
    <s v="MATS6235608-000"/>
    <s v="US , CA"/>
    <x v="0"/>
    <x v="0"/>
    <x v="0"/>
    <x v="34"/>
    <s v="0709.60"/>
    <n v="385"/>
    <n v="174.63291999999998"/>
    <n v="1032.5"/>
  </r>
  <r>
    <s v="MATS6235608-000"/>
    <s v="US , CA"/>
    <x v="0"/>
    <x v="0"/>
    <x v="0"/>
    <x v="2"/>
    <s v="0704.90"/>
    <n v="30"/>
    <n v="13.607759999999999"/>
    <n v="96"/>
  </r>
  <r>
    <s v="MATS6235608-000"/>
    <s v="US , CA"/>
    <x v="0"/>
    <x v="0"/>
    <x v="0"/>
    <x v="35"/>
    <s v="0704.90"/>
    <n v="1400"/>
    <n v="635.02880000000005"/>
    <n v="1225"/>
  </r>
  <r>
    <s v="MATS6235608-000"/>
    <s v="US , CA"/>
    <x v="0"/>
    <x v="0"/>
    <x v="0"/>
    <x v="12"/>
    <s v="0706.10"/>
    <n v="2310"/>
    <n v="1047.7975200000001"/>
    <n v="2387"/>
  </r>
  <r>
    <s v="MATS6235608-000"/>
    <s v="US , CA"/>
    <x v="0"/>
    <x v="0"/>
    <x v="0"/>
    <x v="12"/>
    <s v="0706.10"/>
    <n v="1310"/>
    <n v="594.20551999999998"/>
    <n v="980.5"/>
  </r>
  <r>
    <s v="MATS6235608-000"/>
    <s v="US , CA"/>
    <x v="0"/>
    <x v="0"/>
    <x v="0"/>
    <x v="21"/>
    <s v="0709.40"/>
    <n v="120"/>
    <n v="54.431039999999996"/>
    <n v="168"/>
  </r>
  <r>
    <s v="MATS6235608-000"/>
    <s v="US , CA"/>
    <x v="0"/>
    <x v="0"/>
    <x v="0"/>
    <x v="21"/>
    <s v="0709.40"/>
    <n v="1920"/>
    <n v="870.89663999999993"/>
    <n v="960"/>
  </r>
  <r>
    <s v="MATS6235608-000"/>
    <s v="US , CA"/>
    <x v="0"/>
    <x v="0"/>
    <x v="0"/>
    <x v="34"/>
    <s v="0709.60"/>
    <n v="100"/>
    <n v="45.359200000000001"/>
    <n v="170"/>
  </r>
  <r>
    <s v="MATS6235608-000"/>
    <s v="US , CA"/>
    <x v="0"/>
    <x v="0"/>
    <x v="0"/>
    <x v="68"/>
    <s v="0709.99"/>
    <n v="60"/>
    <n v="27.215519999999998"/>
    <n v="108"/>
  </r>
  <r>
    <s v="MATS6235608-000"/>
    <s v="US , CA"/>
    <x v="0"/>
    <x v="0"/>
    <x v="0"/>
    <x v="77"/>
    <s v="0910.11"/>
    <n v="630"/>
    <n v="285.76296000000002"/>
    <n v="945"/>
  </r>
  <r>
    <s v="MATS6235608-000"/>
    <s v="US , CA"/>
    <x v="0"/>
    <x v="0"/>
    <x v="0"/>
    <x v="10"/>
    <s v="0709.40"/>
    <n v="90"/>
    <n v="40.823279999999997"/>
    <n v="390"/>
  </r>
  <r>
    <s v="MATS6235608-000"/>
    <s v="US , CA"/>
    <x v="0"/>
    <x v="0"/>
    <x v="0"/>
    <x v="10"/>
    <s v="0709.40"/>
    <n v="100"/>
    <n v="45.359200000000001"/>
    <n v="360"/>
  </r>
  <r>
    <s v="MATS6235608-000"/>
    <s v="US , CA"/>
    <x v="0"/>
    <x v="0"/>
    <x v="0"/>
    <x v="10"/>
    <s v="0709.40"/>
    <n v="50"/>
    <n v="22.679600000000001"/>
    <n v="270"/>
  </r>
  <r>
    <s v="MATS6235608-000"/>
    <s v="US , CA"/>
    <x v="0"/>
    <x v="0"/>
    <x v="0"/>
    <x v="22"/>
    <s v="0703.90"/>
    <n v="800"/>
    <n v="362.87360000000001"/>
    <n v="2120"/>
  </r>
  <r>
    <s v="MATS6235608-000"/>
    <s v="US , CA"/>
    <x v="0"/>
    <x v="0"/>
    <x v="0"/>
    <x v="22"/>
    <s v="0703.90"/>
    <n v="75"/>
    <n v="34.019399999999997"/>
    <n v="115.5"/>
  </r>
  <r>
    <s v="MATS6235608-000"/>
    <s v="US , CA"/>
    <x v="0"/>
    <x v="0"/>
    <x v="0"/>
    <x v="32"/>
    <s v="0703.10"/>
    <n v="75"/>
    <n v="34.019399999999997"/>
    <n v="115.5"/>
  </r>
  <r>
    <s v="MATS6235608-000"/>
    <s v="US , CA"/>
    <x v="0"/>
    <x v="0"/>
    <x v="0"/>
    <x v="32"/>
    <s v="0703.10"/>
    <n v="75"/>
    <n v="34.019399999999997"/>
    <n v="115.5"/>
  </r>
  <r>
    <s v="MATS6235608-000"/>
    <s v="US , CA"/>
    <x v="0"/>
    <x v="0"/>
    <x v="0"/>
    <x v="32"/>
    <s v="0703.10"/>
    <n v="75"/>
    <n v="34.019399999999997"/>
    <n v="115.5"/>
  </r>
  <r>
    <s v="MATS6235608-000"/>
    <s v="US , CA"/>
    <x v="0"/>
    <x v="0"/>
    <x v="0"/>
    <x v="66"/>
    <s v="0701.00"/>
    <n v="20"/>
    <n v="9.0718399999999999"/>
    <n v="37.5"/>
  </r>
  <r>
    <s v="MATS6235608-000"/>
    <s v="US , CA"/>
    <x v="0"/>
    <x v="0"/>
    <x v="0"/>
    <x v="66"/>
    <s v="0701.00"/>
    <n v="50"/>
    <n v="22.679600000000001"/>
    <n v="80"/>
  </r>
  <r>
    <s v="MATS6235608-000"/>
    <s v="US , CA"/>
    <x v="0"/>
    <x v="0"/>
    <x v="0"/>
    <x v="20"/>
    <s v="0706.90"/>
    <n v="36"/>
    <n v="16.329312000000002"/>
    <n v="94.5"/>
  </r>
  <r>
    <s v="MATS6235608-000"/>
    <s v="US , CA"/>
    <x v="0"/>
    <x v="0"/>
    <x v="0"/>
    <x v="32"/>
    <s v="0703.10"/>
    <n v="80"/>
    <n v="36.28736"/>
    <n v="142"/>
  </r>
  <r>
    <s v="MATS6235608-000"/>
    <s v="US , CA"/>
    <x v="0"/>
    <x v="0"/>
    <x v="0"/>
    <x v="17"/>
    <s v="0709.70"/>
    <n v="60"/>
    <n v="27.215519999999998"/>
    <n v="297.5"/>
  </r>
  <r>
    <s v="MATS6235608-000"/>
    <s v="US , CA"/>
    <x v="0"/>
    <x v="0"/>
    <x v="0"/>
    <x v="25"/>
    <s v="0709.93"/>
    <n v="735"/>
    <n v="333.39012000000002"/>
    <n v="672"/>
  </r>
  <r>
    <s v="MATS6235608-000"/>
    <s v="US , CA"/>
    <x v="0"/>
    <x v="0"/>
    <x v="0"/>
    <x v="11"/>
    <s v="0702.00"/>
    <n v="2200"/>
    <n v="997.90239999999994"/>
    <n v="5148"/>
  </r>
  <r>
    <s v="MATS6235608-000"/>
    <s v="US , CA"/>
    <x v="0"/>
    <x v="0"/>
    <x v="0"/>
    <x v="11"/>
    <s v="0702.00"/>
    <n v="800"/>
    <n v="362.87360000000001"/>
    <n v="1264"/>
  </r>
  <r>
    <s v="MATS6235608-000"/>
    <s v="US , CA"/>
    <x v="0"/>
    <x v="0"/>
    <x v="0"/>
    <x v="63"/>
    <s v="0714.30"/>
    <n v="600"/>
    <n v="272.15519999999998"/>
    <n v="555"/>
  </r>
  <r>
    <s v="MATS6235608-000"/>
    <s v="US , CA"/>
    <x v="0"/>
    <x v="0"/>
    <x v="0"/>
    <x v="63"/>
    <s v="0714.30"/>
    <n v="600"/>
    <n v="272.15519999999998"/>
    <n v="870"/>
  </r>
  <r>
    <s v="MATS6235608-000"/>
    <s v="US , CA"/>
    <x v="0"/>
    <x v="0"/>
    <x v="0"/>
    <x v="12"/>
    <s v="0706.10"/>
    <n v="48"/>
    <n v="21.772416"/>
    <n v="47.5"/>
  </r>
  <r>
    <s v="MATS6235608-000"/>
    <s v="US , CA"/>
    <x v="0"/>
    <x v="0"/>
    <x v="0"/>
    <x v="12"/>
    <s v="0706.10"/>
    <n v="60"/>
    <n v="27.215519999999998"/>
    <n v="75"/>
  </r>
  <r>
    <s v="MATS6235608-000"/>
    <s v="US , CA"/>
    <x v="0"/>
    <x v="0"/>
    <x v="0"/>
    <x v="32"/>
    <s v="0703.10"/>
    <n v="75"/>
    <n v="34.019399999999997"/>
    <n v="115.5"/>
  </r>
  <r>
    <s v="MATS7830760-000"/>
    <s v="US , CA"/>
    <x v="0"/>
    <x v="0"/>
    <x v="0"/>
    <x v="57"/>
    <s v="0808.10"/>
    <n v="152"/>
    <n v="68.945983999999996"/>
    <n v="141"/>
  </r>
  <r>
    <s v="MATS7830760-000"/>
    <s v="US , CA"/>
    <x v="0"/>
    <x v="0"/>
    <x v="0"/>
    <x v="57"/>
    <s v="0808.10"/>
    <n v="1710"/>
    <n v="775.64232000000004"/>
    <n v="1203.75"/>
  </r>
  <r>
    <s v="MATS7830760-000"/>
    <s v="US , CA"/>
    <x v="0"/>
    <x v="0"/>
    <x v="0"/>
    <x v="57"/>
    <s v="0808.10"/>
    <n v="38"/>
    <n v="17.236495999999999"/>
    <n v="40.15"/>
  </r>
  <r>
    <s v="MATS7830760-000"/>
    <s v="US , CA"/>
    <x v="0"/>
    <x v="0"/>
    <x v="0"/>
    <x v="35"/>
    <s v="0704.90"/>
    <n v="770"/>
    <n v="349.26583999999997"/>
    <n v="367.5"/>
  </r>
  <r>
    <s v="MATS7830760-000"/>
    <s v="US , CA"/>
    <x v="0"/>
    <x v="0"/>
    <x v="0"/>
    <x v="35"/>
    <s v="0704.90"/>
    <n v="220"/>
    <n v="99.790239999999997"/>
    <n v="112.2"/>
  </r>
  <r>
    <s v="MATS7830760-000"/>
    <s v="US , CA"/>
    <x v="0"/>
    <x v="0"/>
    <x v="0"/>
    <x v="65"/>
    <s v="0810.50"/>
    <n v="392"/>
    <n v="177.808064"/>
    <n v="1024.8"/>
  </r>
  <r>
    <s v="MATS7830760-000"/>
    <s v="US , CA"/>
    <x v="0"/>
    <x v="0"/>
    <x v="0"/>
    <x v="72"/>
    <s v="0808.30"/>
    <n v="144"/>
    <n v="65.317248000000006"/>
    <n v="155.6"/>
  </r>
  <r>
    <s v="MATS7830760-000"/>
    <s v="US , CA"/>
    <x v="0"/>
    <x v="0"/>
    <x v="0"/>
    <x v="43"/>
    <s v="0703.20"/>
    <n v="60"/>
    <n v="27.215519999999998"/>
    <n v="196.2"/>
  </r>
  <r>
    <s v="MATS7830760-000"/>
    <s v="US , CA"/>
    <x v="0"/>
    <x v="0"/>
    <x v="0"/>
    <x v="14"/>
    <s v="0805.10"/>
    <n v="1360"/>
    <n v="616.88512000000003"/>
    <n v="1514.7"/>
  </r>
  <r>
    <s v="MATS7995909-000"/>
    <s v="US , CA"/>
    <x v="0"/>
    <x v="0"/>
    <x v="0"/>
    <x v="57"/>
    <s v="0808.10"/>
    <n v="108"/>
    <n v="48.987935999999998"/>
    <n v="92.25"/>
  </r>
  <r>
    <s v="MATS7995909-000"/>
    <s v="US , CA"/>
    <x v="0"/>
    <x v="0"/>
    <x v="0"/>
    <x v="57"/>
    <s v="0808.10"/>
    <n v="72"/>
    <n v="32.658624000000003"/>
    <n v="53.5"/>
  </r>
  <r>
    <s v="MATS7995909-000"/>
    <s v="US , CA"/>
    <x v="0"/>
    <x v="0"/>
    <x v="0"/>
    <x v="57"/>
    <s v="0808.10"/>
    <n v="72"/>
    <n v="32.658624000000003"/>
    <n v="57.5"/>
  </r>
  <r>
    <s v="MATS7995909-000"/>
    <s v="US , CA"/>
    <x v="0"/>
    <x v="0"/>
    <x v="0"/>
    <x v="40"/>
    <s v="0810.20"/>
    <n v="18"/>
    <n v="8.1646560000000008"/>
    <n v="183.8"/>
  </r>
  <r>
    <s v="MATS7995909-000"/>
    <s v="US , CA"/>
    <x v="0"/>
    <x v="0"/>
    <x v="0"/>
    <x v="2"/>
    <s v="0704.90"/>
    <n v="225"/>
    <n v="102.0582"/>
    <n v="242.55"/>
  </r>
  <r>
    <s v="MATS7995909-000"/>
    <s v="US , CA"/>
    <x v="0"/>
    <x v="0"/>
    <x v="0"/>
    <x v="58"/>
    <s v="0706.90"/>
    <n v="25"/>
    <n v="11.3398"/>
    <n v="22.95"/>
  </r>
  <r>
    <s v="MATS7995909-000"/>
    <s v="US , CA"/>
    <x v="0"/>
    <x v="0"/>
    <x v="0"/>
    <x v="39"/>
    <s v="0704.90"/>
    <n v="72"/>
    <n v="32.658624000000003"/>
    <n v="45.7"/>
  </r>
  <r>
    <s v="MATS7995909-000"/>
    <s v="US , CA"/>
    <x v="0"/>
    <x v="0"/>
    <x v="0"/>
    <x v="10"/>
    <s v="0709.51"/>
    <n v="78"/>
    <n v="35.380175999999999"/>
    <n v="297.05"/>
  </r>
  <r>
    <s v="MATS7995909-000"/>
    <s v="US , CA"/>
    <x v="0"/>
    <x v="0"/>
    <x v="0"/>
    <x v="32"/>
    <s v="0703.10"/>
    <n v="75"/>
    <n v="34.019399999999997"/>
    <n v="115.5"/>
  </r>
  <r>
    <s v="MATS7995909-000"/>
    <s v="US , CA"/>
    <x v="0"/>
    <x v="0"/>
    <x v="0"/>
    <x v="2"/>
    <s v="0704.90"/>
    <n v="600"/>
    <n v="272.15519999999998"/>
    <n v="745.5"/>
  </r>
  <r>
    <s v="MATS7995909-000"/>
    <s v="US , CA"/>
    <x v="0"/>
    <x v="0"/>
    <x v="0"/>
    <x v="23"/>
    <s v="0705.11"/>
    <n v="280"/>
    <n v="127.00576"/>
    <n v="173.95"/>
  </r>
  <r>
    <s v="MATS7995909-000"/>
    <s v="US , CA"/>
    <x v="0"/>
    <x v="0"/>
    <x v="0"/>
    <x v="25"/>
    <s v="0709.93"/>
    <n v="110"/>
    <n v="49.895119999999999"/>
    <n v="74.75"/>
  </r>
  <r>
    <s v="MATS7995909-000"/>
    <s v="US , CA"/>
    <x v="0"/>
    <x v="0"/>
    <x v="0"/>
    <x v="25"/>
    <s v="0709.93"/>
    <n v="110"/>
    <n v="49.895119999999999"/>
    <n v="94.75"/>
  </r>
  <r>
    <s v="MATS7995909-000"/>
    <s v="US , CA"/>
    <x v="0"/>
    <x v="0"/>
    <x v="0"/>
    <x v="55"/>
    <s v="0709.99"/>
    <n v="8"/>
    <n v="3.628736"/>
    <n v="120"/>
  </r>
  <r>
    <s v="MATS7995909-000"/>
    <s v="US , CA"/>
    <x v="0"/>
    <x v="0"/>
    <x v="0"/>
    <x v="12"/>
    <s v="0706.10"/>
    <n v="40"/>
    <n v="18.14368"/>
    <n v="45.7"/>
  </r>
  <r>
    <s v="MATS7995909-000"/>
    <s v="US , CA"/>
    <x v="0"/>
    <x v="0"/>
    <x v="0"/>
    <x v="23"/>
    <s v="0705.11"/>
    <n v="36"/>
    <n v="16.329312000000002"/>
    <n v="51.7"/>
  </r>
  <r>
    <s v="MATS7995909-000"/>
    <s v="US , CA"/>
    <x v="0"/>
    <x v="0"/>
    <x v="0"/>
    <x v="10"/>
    <s v="0709.51"/>
    <n v="15"/>
    <n v="6.8038799999999995"/>
    <n v="74.25"/>
  </r>
  <r>
    <s v="MATS7995909-000"/>
    <s v="US , CA"/>
    <x v="0"/>
    <x v="0"/>
    <x v="0"/>
    <x v="23"/>
    <s v="0705.11"/>
    <n v="40"/>
    <n v="18.14368"/>
    <n v="45"/>
  </r>
  <r>
    <s v="MATS7995909-000"/>
    <s v="US , CA"/>
    <x v="0"/>
    <x v="0"/>
    <x v="0"/>
    <x v="35"/>
    <s v="0704.90"/>
    <n v="1350"/>
    <n v="612.3492"/>
    <n v="805.5"/>
  </r>
  <r>
    <s v="MATS7995909-000"/>
    <s v="US , CA"/>
    <x v="0"/>
    <x v="0"/>
    <x v="0"/>
    <x v="35"/>
    <s v="0704.90"/>
    <n v="45"/>
    <n v="20.411639999999998"/>
    <n v="28.85"/>
  </r>
  <r>
    <s v="MATS7995909-000"/>
    <s v="US , CA"/>
    <x v="0"/>
    <x v="0"/>
    <x v="0"/>
    <x v="57"/>
    <s v="0808.10"/>
    <n v="80"/>
    <n v="36.28736"/>
    <n v="85.5"/>
  </r>
  <r>
    <s v="MATS7995909-000"/>
    <s v="US , CA"/>
    <x v="0"/>
    <x v="0"/>
    <x v="0"/>
    <x v="57"/>
    <s v="0808.10"/>
    <n v="40"/>
    <n v="18.14368"/>
    <n v="46.75"/>
  </r>
  <r>
    <s v="MATS7995909-000"/>
    <s v="US , CA"/>
    <x v="0"/>
    <x v="0"/>
    <x v="0"/>
    <x v="17"/>
    <s v="0709.70"/>
    <n v="52.5"/>
    <n v="23.813579999999998"/>
    <n v="146.65"/>
  </r>
  <r>
    <s v="MATS7995909-000"/>
    <s v="US , CA"/>
    <x v="0"/>
    <x v="0"/>
    <x v="0"/>
    <x v="80"/>
    <s v="0708.10"/>
    <n v="40"/>
    <n v="18.14368"/>
    <n v="119"/>
  </r>
  <r>
    <s v="MATS7995909-000"/>
    <s v="US , CA"/>
    <x v="0"/>
    <x v="0"/>
    <x v="0"/>
    <x v="66"/>
    <s v="0701.90"/>
    <n v="2000"/>
    <n v="907.18399999999997"/>
    <n v="650"/>
  </r>
  <r>
    <s v="MATS7995909-000"/>
    <s v="US , CA"/>
    <x v="0"/>
    <x v="0"/>
    <x v="0"/>
    <x v="67"/>
    <s v="0805.40"/>
    <n v="114"/>
    <n v="51.709488"/>
    <n v="128.55000000000001"/>
  </r>
  <r>
    <s v="MATS7995909-000"/>
    <s v="US , CA"/>
    <x v="0"/>
    <x v="0"/>
    <x v="0"/>
    <x v="29"/>
    <s v="0806.10"/>
    <n v="90"/>
    <n v="40.823279999999997"/>
    <n v="238.75"/>
  </r>
  <r>
    <s v="MATS7995909-000"/>
    <s v="US , CA"/>
    <x v="0"/>
    <x v="0"/>
    <x v="0"/>
    <x v="35"/>
    <s v="0704.90"/>
    <n v="500"/>
    <n v="226.79599999999999"/>
    <n v="369.5"/>
  </r>
  <r>
    <s v="MATS7995909-000"/>
    <s v="US , CA"/>
    <x v="0"/>
    <x v="0"/>
    <x v="0"/>
    <x v="21"/>
    <s v="0709.40"/>
    <n v="364"/>
    <n v="165.10748799999999"/>
    <n v="146.65"/>
  </r>
  <r>
    <s v="MATS7995909-000"/>
    <s v="US , CA"/>
    <x v="0"/>
    <x v="0"/>
    <x v="0"/>
    <x v="21"/>
    <s v="0709.40"/>
    <n v="40"/>
    <n v="18.14368"/>
    <n v="45.9"/>
  </r>
  <r>
    <s v="MATS7995909-000"/>
    <s v="US , CA"/>
    <x v="0"/>
    <x v="0"/>
    <x v="0"/>
    <x v="26"/>
    <s v="0810.10"/>
    <n v="64"/>
    <n v="29.029888"/>
    <n v="166"/>
  </r>
  <r>
    <s v="MATS7995909-000"/>
    <s v="US , CA"/>
    <x v="0"/>
    <x v="0"/>
    <x v="0"/>
    <x v="34"/>
    <s v="0709.60"/>
    <n v="250"/>
    <n v="113.398"/>
    <n v="349.5"/>
  </r>
  <r>
    <s v="MATS7995909-000"/>
    <s v="US , CA"/>
    <x v="0"/>
    <x v="0"/>
    <x v="0"/>
    <x v="34"/>
    <s v="0709.60"/>
    <n v="325"/>
    <n v="147.41739999999999"/>
    <n v="428.35"/>
  </r>
  <r>
    <s v="MATS7995909-000"/>
    <s v="US , CA"/>
    <x v="0"/>
    <x v="0"/>
    <x v="0"/>
    <x v="47"/>
    <s v="0709.99"/>
    <n v="18"/>
    <n v="8.1646560000000008"/>
    <n v="18.95"/>
  </r>
  <r>
    <s v="MATS7995909-000"/>
    <s v="US , CA"/>
    <x v="0"/>
    <x v="0"/>
    <x v="0"/>
    <x v="23"/>
    <s v="0705.11"/>
    <n v="6"/>
    <n v="2.721552"/>
    <n v="25.5"/>
  </r>
  <r>
    <s v="MATS7995909-000"/>
    <s v="US , CA"/>
    <x v="0"/>
    <x v="0"/>
    <x v="0"/>
    <x v="3"/>
    <s v="0704.20"/>
    <n v="12"/>
    <n v="5.4431039999999999"/>
    <n v="28.75"/>
  </r>
  <r>
    <s v="MATS7995909-000"/>
    <s v="US , CA"/>
    <x v="0"/>
    <x v="0"/>
    <x v="0"/>
    <x v="23"/>
    <s v="0705.11"/>
    <n v="440"/>
    <n v="199.58047999999999"/>
    <n v="223.85"/>
  </r>
  <r>
    <s v="MATS7995909-000"/>
    <s v="US , CA"/>
    <x v="0"/>
    <x v="0"/>
    <x v="0"/>
    <x v="15"/>
    <s v="0709.99"/>
    <n v="120"/>
    <n v="54.431039999999996"/>
    <n v="135.6"/>
  </r>
  <r>
    <s v="MATS7995909-000"/>
    <s v="US , CA"/>
    <x v="0"/>
    <x v="0"/>
    <x v="0"/>
    <x v="23"/>
    <s v="0705.11"/>
    <n v="200"/>
    <n v="90.718400000000003"/>
    <n v="91.75"/>
  </r>
  <r>
    <s v="MATS7995909-000"/>
    <s v="US , CA"/>
    <x v="0"/>
    <x v="0"/>
    <x v="0"/>
    <x v="23"/>
    <s v="0705.11"/>
    <n v="360"/>
    <n v="163.29311999999999"/>
    <n v="210.15"/>
  </r>
  <r>
    <s v="MATS7995909-000"/>
    <s v="US , CA"/>
    <x v="0"/>
    <x v="0"/>
    <x v="0"/>
    <x v="57"/>
    <s v="0808.10"/>
    <n v="80"/>
    <n v="36.28736"/>
    <n v="73.5"/>
  </r>
  <r>
    <s v="MATS7995909-000"/>
    <s v="US , CA"/>
    <x v="0"/>
    <x v="0"/>
    <x v="0"/>
    <x v="20"/>
    <s v="0706.90"/>
    <n v="22.5"/>
    <n v="10.205819999999999"/>
    <n v="49.9"/>
  </r>
  <r>
    <s v="MATS7995909-000"/>
    <s v="US , CA"/>
    <x v="0"/>
    <x v="0"/>
    <x v="0"/>
    <x v="14"/>
    <s v="0805.10"/>
    <n v="200"/>
    <n v="90.718400000000003"/>
    <n v="233.75"/>
  </r>
  <r>
    <s v="MATS7995909-000"/>
    <s v="US , CA"/>
    <x v="0"/>
    <x v="0"/>
    <x v="0"/>
    <x v="72"/>
    <s v="0808.30"/>
    <n v="70"/>
    <n v="31.751439999999999"/>
    <n v="119.5"/>
  </r>
  <r>
    <s v="MATS7995909-000"/>
    <s v="US , CA"/>
    <x v="0"/>
    <x v="0"/>
    <x v="0"/>
    <x v="29"/>
    <s v="0806.10"/>
    <n v="90"/>
    <n v="40.823279999999997"/>
    <n v="228.75"/>
  </r>
  <r>
    <s v="MATS7995909-000"/>
    <s v="US , CA"/>
    <x v="0"/>
    <x v="0"/>
    <x v="0"/>
    <x v="29"/>
    <s v="0806.10"/>
    <n v="90"/>
    <n v="40.823279999999997"/>
    <n v="233.75"/>
  </r>
  <r>
    <s v="MATS7995909-000"/>
    <s v="US , CA"/>
    <x v="0"/>
    <x v="0"/>
    <x v="0"/>
    <x v="16"/>
    <s v="0804.50"/>
    <n v="50"/>
    <n v="22.679600000000001"/>
    <n v="113.75"/>
  </r>
  <r>
    <s v="MATS7995909-000"/>
    <s v="US , CA"/>
    <x v="0"/>
    <x v="0"/>
    <x v="0"/>
    <x v="22"/>
    <s v="0703.90"/>
    <n v="10"/>
    <n v="4.53592"/>
    <n v="48.85"/>
  </r>
  <r>
    <s v="MATS7995909-000"/>
    <s v="MX"/>
    <x v="2"/>
    <x v="2"/>
    <x v="1"/>
    <x v="0"/>
    <s v="0709.20"/>
    <n v="33"/>
    <n v="14.968536"/>
    <n v="128.25"/>
  </r>
  <r>
    <s v="MATS7995909-000"/>
    <s v="MX"/>
    <x v="2"/>
    <x v="2"/>
    <x v="1"/>
    <x v="73"/>
    <s v="0807.19"/>
    <n v="350"/>
    <n v="158.75720000000001"/>
    <n v="228.5"/>
  </r>
  <r>
    <s v="MATS7995909-000"/>
    <s v="MX"/>
    <x v="2"/>
    <x v="2"/>
    <x v="1"/>
    <x v="74"/>
    <s v="0807.19"/>
    <n v="338"/>
    <n v="153.31409600000001"/>
    <n v="230.75"/>
  </r>
  <r>
    <s v="MATS7995909-000"/>
    <s v="MX"/>
    <x v="2"/>
    <x v="2"/>
    <x v="1"/>
    <x v="34"/>
    <s v="0709.60"/>
    <n v="30"/>
    <n v="13.607759999999999"/>
    <n v="31.5"/>
  </r>
  <r>
    <s v="MATS7995909-000"/>
    <s v="MX"/>
    <x v="2"/>
    <x v="2"/>
    <x v="1"/>
    <x v="34"/>
    <s v="0709.60"/>
    <n v="15"/>
    <n v="6.8038799999999995"/>
    <n v="36"/>
  </r>
  <r>
    <s v="MATS7995909-000"/>
    <s v="MX"/>
    <x v="2"/>
    <x v="2"/>
    <x v="1"/>
    <x v="34"/>
    <s v="0709.60"/>
    <n v="30"/>
    <n v="13.607759999999999"/>
    <n v="50.25"/>
  </r>
  <r>
    <s v="MATS7995909-000"/>
    <s v="MX"/>
    <x v="2"/>
    <x v="2"/>
    <x v="1"/>
    <x v="11"/>
    <s v="0702.00"/>
    <n v="55"/>
    <n v="24.947559999999999"/>
    <n v="94.75"/>
  </r>
  <r>
    <s v="MATS7995909-000"/>
    <s v="MX"/>
    <x v="2"/>
    <x v="2"/>
    <x v="1"/>
    <x v="34"/>
    <s v="0709.60"/>
    <n v="75"/>
    <n v="34.019399999999997"/>
    <n v="144.75"/>
  </r>
  <r>
    <s v="MATS7995909-000"/>
    <s v="MX"/>
    <x v="2"/>
    <x v="2"/>
    <x v="1"/>
    <x v="11"/>
    <s v="0702.00"/>
    <n v="260"/>
    <n v="117.93392"/>
    <n v="467.35"/>
  </r>
  <r>
    <s v="MATS7995909-000"/>
    <s v="MX"/>
    <x v="2"/>
    <x v="2"/>
    <x v="1"/>
    <x v="11"/>
    <s v="0702.00"/>
    <n v="575"/>
    <n v="260.81540000000001"/>
    <n v="757.85"/>
  </r>
  <r>
    <s v="MATS7995909-000"/>
    <s v="MX"/>
    <x v="2"/>
    <x v="2"/>
    <x v="1"/>
    <x v="69"/>
    <s v="0805.50"/>
    <n v="72"/>
    <n v="32.658624000000003"/>
    <n v="80"/>
  </r>
  <r>
    <s v="MATS7995909-000"/>
    <s v="MX"/>
    <x v="2"/>
    <x v="2"/>
    <x v="1"/>
    <x v="11"/>
    <s v="0702.00"/>
    <n v="97.5"/>
    <n v="44.22522"/>
    <n v="298.35000000000002"/>
  </r>
  <r>
    <s v="MATS7995909-000"/>
    <s v="US , CA"/>
    <x v="0"/>
    <x v="0"/>
    <x v="0"/>
    <x v="70"/>
    <s v="0704.90"/>
    <n v="25"/>
    <n v="11.3398"/>
    <n v="200"/>
  </r>
  <r>
    <s v="MATS7995909-000"/>
    <s v="US , CA"/>
    <x v="0"/>
    <x v="0"/>
    <x v="0"/>
    <x v="70"/>
    <s v="0704.90"/>
    <n v="30"/>
    <n v="13.607759999999999"/>
    <n v="175"/>
  </r>
  <r>
    <s v="MATS7995909-000"/>
    <s v="US , CA"/>
    <x v="0"/>
    <x v="0"/>
    <x v="0"/>
    <x v="70"/>
    <s v="0704.90"/>
    <n v="30"/>
    <n v="13.607759999999999"/>
    <n v="56"/>
  </r>
  <r>
    <s v="MATS7995909-000"/>
    <s v="US , CA"/>
    <x v="0"/>
    <x v="0"/>
    <x v="0"/>
    <x v="70"/>
    <s v="0704.90"/>
    <n v="20"/>
    <n v="9.0718399999999999"/>
    <n v="192"/>
  </r>
  <r>
    <s v="MATS7995909-000"/>
    <s v="US , CA"/>
    <x v="0"/>
    <x v="0"/>
    <x v="0"/>
    <x v="70"/>
    <s v="0704.90"/>
    <n v="30"/>
    <n v="13.607759999999999"/>
    <n v="1100"/>
  </r>
  <r>
    <s v="MATS7995909-000"/>
    <s v="US , CA"/>
    <x v="0"/>
    <x v="0"/>
    <x v="0"/>
    <x v="89"/>
    <s v="0709.93"/>
    <n v="35"/>
    <n v="15.875719999999999"/>
    <n v="72"/>
  </r>
  <r>
    <s v="MATS7995909-000"/>
    <s v="US , CA"/>
    <x v="0"/>
    <x v="0"/>
    <x v="0"/>
    <x v="21"/>
    <s v="0709.40"/>
    <n v="30"/>
    <n v="13.607759999999999"/>
    <n v="160"/>
  </r>
  <r>
    <s v="MATS7995909-000"/>
    <s v="US , CA"/>
    <x v="0"/>
    <x v="0"/>
    <x v="0"/>
    <x v="89"/>
    <s v="0709.93"/>
    <n v="30"/>
    <n v="13.607759999999999"/>
    <n v="189"/>
  </r>
  <r>
    <s v="MATS7995909-000"/>
    <s v="US , CA"/>
    <x v="0"/>
    <x v="0"/>
    <x v="0"/>
    <x v="2"/>
    <s v="0704.90"/>
    <n v="232"/>
    <n v="105.233344"/>
    <n v="420"/>
  </r>
  <r>
    <s v="MATS7995909-000"/>
    <s v="US , CA"/>
    <x v="0"/>
    <x v="0"/>
    <x v="0"/>
    <x v="77"/>
    <s v="0910.11"/>
    <n v="30"/>
    <n v="13.607759999999999"/>
    <n v="640"/>
  </r>
  <r>
    <s v="MATS7995909-000"/>
    <s v="US , CA"/>
    <x v="0"/>
    <x v="0"/>
    <x v="0"/>
    <x v="1"/>
    <s v="0708.20"/>
    <n v="30"/>
    <n v="13.607759999999999"/>
    <n v="66"/>
  </r>
  <r>
    <s v="MATS7995909-000"/>
    <s v="US , CA"/>
    <x v="0"/>
    <x v="0"/>
    <x v="0"/>
    <x v="22"/>
    <s v="0703.90"/>
    <n v="15"/>
    <n v="6.8038799999999995"/>
    <n v="225"/>
  </r>
  <r>
    <s v="MATS7995909-000"/>
    <s v="US , CA"/>
    <x v="0"/>
    <x v="0"/>
    <x v="0"/>
    <x v="20"/>
    <s v="0706.90"/>
    <n v="8"/>
    <n v="3.628736"/>
    <n v="104"/>
  </r>
  <r>
    <s v="MATS7995909-000"/>
    <s v="US , CA"/>
    <x v="0"/>
    <x v="0"/>
    <x v="0"/>
    <x v="90"/>
    <s v="0709.99"/>
    <n v="35"/>
    <n v="15.875719999999999"/>
    <n v="24.5"/>
  </r>
  <r>
    <s v="MATS7995909-000"/>
    <s v="US , CA"/>
    <x v="0"/>
    <x v="0"/>
    <x v="0"/>
    <x v="64"/>
    <s v="0805.50"/>
    <n v="40"/>
    <n v="18.14368"/>
    <n v="26"/>
  </r>
  <r>
    <s v="MATS7995909-000"/>
    <s v="US , CA"/>
    <x v="0"/>
    <x v="0"/>
    <x v="0"/>
    <x v="22"/>
    <s v="0703.90"/>
    <n v="25"/>
    <n v="11.3398"/>
    <n v="55"/>
  </r>
  <r>
    <s v="MATS7995909-000"/>
    <s v="US , CA"/>
    <x v="0"/>
    <x v="0"/>
    <x v="0"/>
    <x v="91"/>
    <s v="1202.00"/>
    <n v="50"/>
    <n v="22.679600000000001"/>
    <n v="416"/>
  </r>
  <r>
    <s v="MATS7995909-000"/>
    <s v="US , CA"/>
    <x v="0"/>
    <x v="0"/>
    <x v="0"/>
    <x v="32"/>
    <s v="0703.10"/>
    <n v="75"/>
    <n v="34.019399999999997"/>
    <n v="115.5"/>
  </r>
  <r>
    <s v="MATS7995909-000"/>
    <s v="US , CA"/>
    <x v="0"/>
    <x v="0"/>
    <x v="0"/>
    <x v="70"/>
    <s v="0704.90"/>
    <n v="30"/>
    <n v="13.607759999999999"/>
    <n v="1300"/>
  </r>
  <r>
    <s v="MATS7995909-000"/>
    <s v="US , CA"/>
    <x v="0"/>
    <x v="0"/>
    <x v="0"/>
    <x v="70"/>
    <s v="0704.90"/>
    <n v="20"/>
    <n v="9.0718399999999999"/>
    <n v="250"/>
  </r>
  <r>
    <s v="MATS7995909-000"/>
    <s v="US , CA"/>
    <x v="0"/>
    <x v="0"/>
    <x v="0"/>
    <x v="92"/>
    <s v="0704.90"/>
    <n v="30"/>
    <n v="13.607759999999999"/>
    <n v="100"/>
  </r>
  <r>
    <s v="MATS7995909-000"/>
    <s v="US , CA"/>
    <x v="0"/>
    <x v="0"/>
    <x v="0"/>
    <x v="70"/>
    <s v="0704.90"/>
    <n v="30"/>
    <n v="13.607759999999999"/>
    <n v="75"/>
  </r>
  <r>
    <s v="MATS7995909-000"/>
    <s v="US , CA"/>
    <x v="0"/>
    <x v="0"/>
    <x v="0"/>
    <x v="2"/>
    <s v="0704.90"/>
    <n v="25"/>
    <n v="11.3398"/>
    <n v="78"/>
  </r>
  <r>
    <s v="MATS7995909-000"/>
    <s v="US , CA"/>
    <x v="0"/>
    <x v="0"/>
    <x v="0"/>
    <x v="17"/>
    <s v="0709.70"/>
    <n v="20"/>
    <n v="9.0718399999999999"/>
    <n v="700"/>
  </r>
  <r>
    <s v="MATS7995909-000"/>
    <s v="US , CA"/>
    <x v="0"/>
    <x v="0"/>
    <x v="0"/>
    <x v="88"/>
    <s v="0714.40"/>
    <n v="78"/>
    <n v="35.380175999999999"/>
    <n v="196"/>
  </r>
  <r>
    <s v="MATS7995909-000"/>
    <s v="US , CA"/>
    <x v="0"/>
    <x v="0"/>
    <x v="0"/>
    <x v="88"/>
    <s v="0714.40"/>
    <n v="30"/>
    <n v="13.607759999999999"/>
    <n v="172"/>
  </r>
  <r>
    <s v="MATS7995909-000"/>
    <s v="US , CA"/>
    <x v="0"/>
    <x v="0"/>
    <x v="0"/>
    <x v="93"/>
    <s v="0603.14"/>
    <n v="20"/>
    <n v="9.0718399999999999"/>
    <n v="125"/>
  </r>
  <r>
    <s v="MATS7995909-000"/>
    <s v="US , CA"/>
    <x v="0"/>
    <x v="0"/>
    <x v="0"/>
    <x v="63"/>
    <s v="0714.30"/>
    <n v="40"/>
    <n v="18.14368"/>
    <n v="99"/>
  </r>
  <r>
    <s v="MATS7995909-000"/>
    <s v="US , CA"/>
    <x v="0"/>
    <x v="0"/>
    <x v="0"/>
    <x v="70"/>
    <s v="0704.90"/>
    <n v="30"/>
    <n v="13.607759999999999"/>
    <n v="96"/>
  </r>
  <r>
    <s v="MATS7995909-000"/>
    <s v="US , CA"/>
    <x v="0"/>
    <x v="0"/>
    <x v="0"/>
    <x v="70"/>
    <s v="0704.90"/>
    <n v="30"/>
    <n v="13.607759999999999"/>
    <n v="130"/>
  </r>
  <r>
    <s v="MATS7995909-000"/>
    <s v="US , CA"/>
    <x v="0"/>
    <x v="0"/>
    <x v="0"/>
    <x v="70"/>
    <s v="0704.90"/>
    <n v="20"/>
    <n v="9.0718399999999999"/>
    <n v="231"/>
  </r>
  <r>
    <s v="MATS7995909-000"/>
    <s v="US , CA"/>
    <x v="0"/>
    <x v="0"/>
    <x v="0"/>
    <x v="94"/>
    <s v="0709.99"/>
    <n v="40"/>
    <n v="18.14368"/>
    <n v="23"/>
  </r>
  <r>
    <s v="MATS9005781-000"/>
    <s v="US , WA"/>
    <x v="0"/>
    <x v="0"/>
    <x v="0"/>
    <x v="71"/>
    <s v="0803.00"/>
    <n v="40"/>
    <n v="18.14368"/>
    <n v="15868.8"/>
  </r>
  <r>
    <s v="MV112032024RG"/>
    <s v="MP"/>
    <x v="6"/>
    <x v="6"/>
    <x v="1"/>
    <x v="71"/>
    <s v="0803.00"/>
    <n v="1060"/>
    <n v="480.80752000000001"/>
    <n v="1325"/>
  </r>
  <r>
    <s v="MV112032024RG"/>
    <s v="MP"/>
    <x v="6"/>
    <x v="6"/>
    <x v="1"/>
    <x v="95"/>
    <s v="0803.90"/>
    <n v="105"/>
    <n v="47.627159999999996"/>
    <n v="73.5"/>
  </r>
  <r>
    <s v="MV112032024RG"/>
    <s v="MP"/>
    <x v="6"/>
    <x v="6"/>
    <x v="1"/>
    <x v="96"/>
    <s v="0804.50"/>
    <n v="130"/>
    <n v="58.96696"/>
    <n v="130"/>
  </r>
  <r>
    <s v="MV112032024RG"/>
    <s v="MP"/>
    <x v="6"/>
    <x v="6"/>
    <x v="1"/>
    <x v="75"/>
    <s v="0804.30"/>
    <n v="335"/>
    <n v="151.95331999999999"/>
    <n v="418.75"/>
  </r>
  <r>
    <s v="MV112032024RG"/>
    <s v="MP"/>
    <x v="6"/>
    <x v="6"/>
    <x v="1"/>
    <x v="97"/>
    <s v="0709.99"/>
    <n v="160"/>
    <n v="72.574719999999999"/>
    <n v="160"/>
  </r>
  <r>
    <s v="131-32844291"/>
    <s v="TW"/>
    <x v="7"/>
    <x v="7"/>
    <x v="1"/>
    <x v="23"/>
    <s v="0705.11"/>
    <n v="7"/>
    <n v="3.175144"/>
    <n v="31.5"/>
  </r>
  <r>
    <s v="131-32844291"/>
    <s v="TW"/>
    <x v="7"/>
    <x v="7"/>
    <x v="1"/>
    <x v="21"/>
    <s v="0709.40"/>
    <n v="7"/>
    <n v="3.175144"/>
    <n v="33"/>
  </r>
  <r>
    <s v="131-32844291"/>
    <s v="TW"/>
    <x v="7"/>
    <x v="7"/>
    <x v="1"/>
    <x v="98"/>
    <s v="2005.91"/>
    <n v="10"/>
    <n v="4.53592"/>
    <n v="72"/>
  </r>
  <r>
    <s v="131-32844291"/>
    <s v="TW"/>
    <x v="7"/>
    <x v="7"/>
    <x v="1"/>
    <x v="32"/>
    <s v="0703.10"/>
    <n v="75"/>
    <n v="34.019399999999997"/>
    <n v="115.5"/>
  </r>
  <r>
    <s v="440ROP10024014"/>
    <s v="MP"/>
    <x v="6"/>
    <x v="6"/>
    <x v="1"/>
    <x v="99"/>
    <s v="0805.90"/>
    <n v="110"/>
    <n v="49.895119999999999"/>
    <n v="220"/>
  </r>
  <r>
    <s v="440ROP10024014"/>
    <s v="MP"/>
    <x v="6"/>
    <x v="6"/>
    <x v="1"/>
    <x v="77"/>
    <s v="0910.11"/>
    <n v="50"/>
    <n v="22.679600000000001"/>
    <n v="75"/>
  </r>
  <r>
    <s v="440ROP10024014"/>
    <s v="MP"/>
    <x v="6"/>
    <x v="6"/>
    <x v="1"/>
    <x v="71"/>
    <s v="0803.00"/>
    <n v="43"/>
    <n v="19.504456000000001"/>
    <n v="30"/>
  </r>
  <r>
    <s v="440ROP10024014"/>
    <s v="MP"/>
    <x v="6"/>
    <x v="6"/>
    <x v="1"/>
    <x v="88"/>
    <s v="0714.40"/>
    <n v="50"/>
    <n v="22.679600000000001"/>
    <n v="62"/>
  </r>
  <r>
    <s v="440ROP10024014"/>
    <s v="MP"/>
    <x v="6"/>
    <x v="6"/>
    <x v="1"/>
    <x v="30"/>
    <s v="0807.20"/>
    <n v="50"/>
    <n v="22.679600000000001"/>
    <n v="40"/>
  </r>
  <r>
    <s v="440ROP10024014"/>
    <s v="MP"/>
    <x v="6"/>
    <x v="6"/>
    <x v="1"/>
    <x v="60"/>
    <s v="0714.20"/>
    <n v="262"/>
    <n v="118.841104"/>
    <n v="327.5"/>
  </r>
  <r>
    <s v="440ROP10024014"/>
    <s v="MP"/>
    <x v="6"/>
    <x v="6"/>
    <x v="1"/>
    <x v="88"/>
    <s v="0714.40"/>
    <n v="26"/>
    <n v="11.793392000000001"/>
    <n v="26"/>
  </r>
  <r>
    <s v="440ROP10024014"/>
    <s v="MP"/>
    <x v="6"/>
    <x v="6"/>
    <x v="1"/>
    <x v="77"/>
    <s v="0910.11"/>
    <n v="22"/>
    <n v="9.979023999999999"/>
    <n v="39.6"/>
  </r>
  <r>
    <s v="440ROP10024014"/>
    <s v="MP"/>
    <x v="6"/>
    <x v="6"/>
    <x v="1"/>
    <x v="64"/>
    <s v="0805.50"/>
    <n v="76"/>
    <n v="34.472991999999998"/>
    <n v="76"/>
  </r>
  <r>
    <s v="440ROP10024014"/>
    <s v="MP"/>
    <x v="6"/>
    <x v="6"/>
    <x v="1"/>
    <x v="96"/>
    <s v="0804.50"/>
    <n v="50"/>
    <n v="22.679600000000001"/>
    <n v="50"/>
  </r>
  <r>
    <s v="440ROP10024014"/>
    <s v="MP"/>
    <x v="6"/>
    <x v="6"/>
    <x v="1"/>
    <x v="30"/>
    <s v="0807.20"/>
    <n v="160"/>
    <n v="72.574719999999999"/>
    <n v="96"/>
  </r>
  <r>
    <s v="440ROP10024014"/>
    <s v="MP"/>
    <x v="6"/>
    <x v="6"/>
    <x v="1"/>
    <x v="75"/>
    <s v="0804.30"/>
    <n v="92"/>
    <n v="41.730463999999998"/>
    <n v="115"/>
  </r>
  <r>
    <s v="USG0286643"/>
    <s v="CN"/>
    <x v="8"/>
    <x v="8"/>
    <x v="1"/>
    <x v="32"/>
    <s v="0703.10"/>
    <n v="75"/>
    <n v="34.019399999999997"/>
    <n v="115.5"/>
  </r>
  <r>
    <s v="USG0286643"/>
    <s v="CN"/>
    <x v="8"/>
    <x v="8"/>
    <x v="1"/>
    <x v="43"/>
    <s v="0703.20"/>
    <n v="3200"/>
    <n v="1451.4944"/>
    <n v="3289.8"/>
  </r>
  <r>
    <s v="USG0286643"/>
    <s v="CN"/>
    <x v="8"/>
    <x v="8"/>
    <x v="1"/>
    <x v="77"/>
    <s v="0910.11"/>
    <n v="1200"/>
    <n v="544.31039999999996"/>
    <n v="1956"/>
  </r>
  <r>
    <s v="USG0286643"/>
    <s v="CN"/>
    <x v="8"/>
    <x v="8"/>
    <x v="1"/>
    <x v="12"/>
    <s v="0706.10"/>
    <n v="4000"/>
    <n v="1814.3679999999999"/>
    <n v="1226"/>
  </r>
  <r>
    <s v="USG0286643"/>
    <s v="CN"/>
    <x v="8"/>
    <x v="8"/>
    <x v="1"/>
    <x v="20"/>
    <s v="0706.90"/>
    <n v="900"/>
    <n v="408.2328"/>
    <n v="532.20000000000005"/>
  </r>
  <r>
    <s v="MEL4M0009700"/>
    <s v="AU"/>
    <x v="9"/>
    <x v="9"/>
    <x v="1"/>
    <x v="14"/>
    <s v="0805.10"/>
    <n v="82453"/>
    <n v="37400.021176000002"/>
    <n v="75276.7"/>
  </r>
  <r>
    <s v="MATS7300135-000"/>
    <s v="US , CA"/>
    <x v="0"/>
    <x v="0"/>
    <x v="0"/>
    <x v="0"/>
    <s v="0709.20"/>
    <n v="880"/>
    <n v="399.16095999999999"/>
    <n v="3320"/>
  </r>
  <r>
    <s v="MATS7300135-000"/>
    <s v="US , CA"/>
    <x v="0"/>
    <x v="0"/>
    <x v="0"/>
    <x v="100"/>
    <s v="0803.90"/>
    <n v="40"/>
    <n v="18.14368"/>
    <n v="53.66"/>
  </r>
  <r>
    <s v="MATS7300135-000"/>
    <s v="US , CA"/>
    <x v="0"/>
    <x v="0"/>
    <x v="0"/>
    <x v="58"/>
    <s v="0706.90"/>
    <n v="275"/>
    <n v="124.73779999999999"/>
    <n v="248.77"/>
  </r>
  <r>
    <s v="MATS7300135-000"/>
    <s v="US , CA"/>
    <x v="0"/>
    <x v="0"/>
    <x v="0"/>
    <x v="2"/>
    <s v="0704.90"/>
    <n v="3016"/>
    <n v="1368.0334720000001"/>
    <n v="5425.21"/>
  </r>
  <r>
    <s v="MATS7300135-000"/>
    <s v="US , CA"/>
    <x v="0"/>
    <x v="0"/>
    <x v="0"/>
    <x v="3"/>
    <s v="0704.20"/>
    <n v="250"/>
    <n v="113.398"/>
    <n v="353.7"/>
  </r>
  <r>
    <s v="MATS7300135-000"/>
    <s v="US , CA"/>
    <x v="0"/>
    <x v="0"/>
    <x v="0"/>
    <x v="35"/>
    <s v="0704.90"/>
    <n v="14796"/>
    <n v="6711.3472320000001"/>
    <n v="10626.67"/>
  </r>
  <r>
    <s v="MATS7300135-000"/>
    <s v="US , CA"/>
    <x v="0"/>
    <x v="0"/>
    <x v="0"/>
    <x v="2"/>
    <s v="0704.90"/>
    <n v="818"/>
    <n v="371.03825599999999"/>
    <n v="988.66"/>
  </r>
  <r>
    <s v="MATS7300135-000"/>
    <s v="US , CA"/>
    <x v="0"/>
    <x v="0"/>
    <x v="0"/>
    <x v="21"/>
    <s v="0709.40"/>
    <n v="3492"/>
    <n v="1583.943264"/>
    <n v="1764.27"/>
  </r>
  <r>
    <s v="MATS7300135-000"/>
    <s v="US , CA"/>
    <x v="0"/>
    <x v="0"/>
    <x v="0"/>
    <x v="53"/>
    <s v="0704.90"/>
    <n v="64"/>
    <n v="29.029888"/>
    <n v="97.56"/>
  </r>
  <r>
    <s v="MATS7300135-000"/>
    <s v="US , CA"/>
    <x v="0"/>
    <x v="0"/>
    <x v="0"/>
    <x v="36"/>
    <s v="0709.99"/>
    <n v="160"/>
    <n v="72.574719999999999"/>
    <n v="214.64"/>
  </r>
  <r>
    <s v="MATS7300135-000"/>
    <s v="US , CA"/>
    <x v="0"/>
    <x v="0"/>
    <x v="0"/>
    <x v="87"/>
    <s v="0709.99"/>
    <n v="90"/>
    <n v="40.823279999999997"/>
    <n v="98.61"/>
  </r>
  <r>
    <s v="MATS7300135-000"/>
    <s v="US , CA"/>
    <x v="0"/>
    <x v="0"/>
    <x v="0"/>
    <x v="39"/>
    <s v="0704.90"/>
    <n v="456"/>
    <n v="206.837952"/>
    <n v="718.2"/>
  </r>
  <r>
    <s v="MATS7300135-000"/>
    <s v="US , CA"/>
    <x v="0"/>
    <x v="0"/>
    <x v="0"/>
    <x v="23"/>
    <s v="0705.11"/>
    <n v="847"/>
    <n v="384.19242400000002"/>
    <n v="983.76"/>
  </r>
  <r>
    <s v="MATS7300135-000"/>
    <s v="US , CA"/>
    <x v="0"/>
    <x v="0"/>
    <x v="0"/>
    <x v="22"/>
    <s v="0703.90"/>
    <n v="3170"/>
    <n v="1437.8866399999999"/>
    <n v="2907.2"/>
  </r>
  <r>
    <s v="MATS7300135-000"/>
    <s v="US , CA"/>
    <x v="0"/>
    <x v="0"/>
    <x v="0"/>
    <x v="20"/>
    <s v="0706.90"/>
    <n v="852"/>
    <n v="386.46038399999998"/>
    <n v="568.66999999999996"/>
  </r>
  <r>
    <s v="MATS7300135-000"/>
    <s v="US , CA"/>
    <x v="0"/>
    <x v="0"/>
    <x v="0"/>
    <x v="47"/>
    <s v="0709.99"/>
    <n v="120"/>
    <n v="54.431039999999996"/>
    <n v="219.5"/>
  </r>
  <r>
    <s v="MATS7300135-000"/>
    <s v="US , CA"/>
    <x v="0"/>
    <x v="0"/>
    <x v="0"/>
    <x v="80"/>
    <s v="0708.10"/>
    <n v="180"/>
    <n v="81.646559999999994"/>
    <n v="691.38"/>
  </r>
  <r>
    <s v="MATS7300135-000"/>
    <s v="US , CA"/>
    <x v="0"/>
    <x v="0"/>
    <x v="0"/>
    <x v="25"/>
    <s v="0709.93"/>
    <n v="24"/>
    <n v="10.886208"/>
    <n v="26.83"/>
  </r>
  <r>
    <s v="MATS7300135-000"/>
    <s v="US , CA"/>
    <x v="0"/>
    <x v="0"/>
    <x v="0"/>
    <x v="18"/>
    <s v="0706.10"/>
    <n v="25"/>
    <n v="11.3398"/>
    <n v="36.590000000000003"/>
  </r>
  <r>
    <s v="USG0286626"/>
    <s v="US , CA"/>
    <x v="0"/>
    <x v="0"/>
    <x v="0"/>
    <x v="66"/>
    <s v="0701.00"/>
    <n v="40000"/>
    <n v="18143.68"/>
    <n v="9500"/>
  </r>
  <r>
    <s v="USG0285422"/>
    <s v="CN"/>
    <x v="8"/>
    <x v="8"/>
    <x v="1"/>
    <x v="43"/>
    <s v="0703.20"/>
    <n v="15960"/>
    <n v="7239.3283199999996"/>
    <n v="18270"/>
  </r>
  <r>
    <s v="USG0285422"/>
    <s v="CN"/>
    <x v="8"/>
    <x v="8"/>
    <x v="1"/>
    <x v="32"/>
    <s v="0703.10"/>
    <n v="75"/>
    <n v="34.019399999999997"/>
    <n v="115.5"/>
  </r>
  <r>
    <s v="USG0286988"/>
    <s v="JP"/>
    <x v="10"/>
    <x v="10"/>
    <x v="1"/>
    <x v="60"/>
    <s v="0714.20"/>
    <n v="7937"/>
    <n v="3600.1597040000001"/>
    <n v="15761.2"/>
  </r>
  <r>
    <s v="USG0287023"/>
    <s v="CN"/>
    <x v="8"/>
    <x v="8"/>
    <x v="1"/>
    <x v="43"/>
    <s v="0703.20"/>
    <n v="7678"/>
    <n v="3482.679376"/>
    <n v="19150"/>
  </r>
  <r>
    <s v="USG0287023"/>
    <s v="CN"/>
    <x v="8"/>
    <x v="8"/>
    <x v="1"/>
    <x v="32"/>
    <s v="0703.10"/>
    <n v="75"/>
    <n v="34.019399999999997"/>
    <n v="115.5"/>
  </r>
  <r>
    <s v="USG0285425"/>
    <s v="CN"/>
    <x v="8"/>
    <x v="8"/>
    <x v="1"/>
    <x v="72"/>
    <s v="0808.30"/>
    <n v="28903"/>
    <n v="13110.169576"/>
    <n v="35625"/>
  </r>
  <r>
    <s v="USG0287795"/>
    <s v="JP"/>
    <x v="10"/>
    <x v="10"/>
    <x v="1"/>
    <x v="20"/>
    <s v="0706.90"/>
    <n v="441"/>
    <n v="200.03407200000001"/>
    <n v="680.8"/>
  </r>
  <r>
    <s v="USG0287795"/>
    <s v="JP"/>
    <x v="10"/>
    <x v="10"/>
    <x v="1"/>
    <x v="12"/>
    <s v="0706.10"/>
    <n v="529"/>
    <n v="239.95016799999999"/>
    <n v="848.7"/>
  </r>
  <r>
    <s v="USG0287795"/>
    <s v="JP"/>
    <x v="10"/>
    <x v="10"/>
    <x v="1"/>
    <x v="63"/>
    <s v="0714.30"/>
    <n v="22"/>
    <n v="9.979023999999999"/>
    <n v="84.5"/>
  </r>
  <r>
    <s v="USG0287795"/>
    <s v="JP"/>
    <x v="10"/>
    <x v="10"/>
    <x v="1"/>
    <x v="10"/>
    <s v="0709.51"/>
    <n v="469"/>
    <n v="212.73464799999999"/>
    <n v="1828.36"/>
  </r>
  <r>
    <s v="USG0287795"/>
    <s v="JP"/>
    <x v="10"/>
    <x v="10"/>
    <x v="1"/>
    <x v="43"/>
    <s v="0703.20"/>
    <n v="121"/>
    <n v="54.884631999999996"/>
    <n v="478.2"/>
  </r>
  <r>
    <s v="USG0287795"/>
    <s v="JP"/>
    <x v="10"/>
    <x v="10"/>
    <x v="1"/>
    <x v="101"/>
    <s v="0706.90"/>
    <n v="33"/>
    <n v="14.968536"/>
    <n v="106.14"/>
  </r>
  <r>
    <s v="USG0287795"/>
    <s v="JP"/>
    <x v="10"/>
    <x v="10"/>
    <x v="1"/>
    <x v="23"/>
    <s v="0705.11"/>
    <n v="72"/>
    <n v="32.658624000000003"/>
    <n v="223.75"/>
  </r>
  <r>
    <s v="USG0287795"/>
    <s v="JP"/>
    <x v="10"/>
    <x v="10"/>
    <x v="1"/>
    <x v="77"/>
    <s v="0910.11"/>
    <n v="77"/>
    <n v="34.926583999999998"/>
    <n v="259.24"/>
  </r>
  <r>
    <s v="USG0287795"/>
    <s v="JP"/>
    <x v="10"/>
    <x v="10"/>
    <x v="1"/>
    <x v="17"/>
    <s v="0709.70"/>
    <n v="216"/>
    <n v="97.975871999999995"/>
    <n v="827.56"/>
  </r>
  <r>
    <s v="USG0287795"/>
    <s v="JP"/>
    <x v="10"/>
    <x v="10"/>
    <x v="1"/>
    <x v="35"/>
    <s v="0704.90"/>
    <n v="1764"/>
    <n v="800.13628800000004"/>
    <n v="2710.2"/>
  </r>
  <r>
    <s v="USG0287795"/>
    <s v="JP"/>
    <x v="10"/>
    <x v="10"/>
    <x v="1"/>
    <x v="34"/>
    <s v="0709.60"/>
    <n v="132"/>
    <n v="59.874144000000001"/>
    <n v="650.79999999999995"/>
  </r>
  <r>
    <s v="USG0287795"/>
    <s v="JP"/>
    <x v="10"/>
    <x v="10"/>
    <x v="1"/>
    <x v="102"/>
    <s v="0709.93"/>
    <n v="441"/>
    <n v="200.03407200000001"/>
    <n v="860.2"/>
  </r>
  <r>
    <s v="USG0287795"/>
    <s v="JP"/>
    <x v="10"/>
    <x v="10"/>
    <x v="1"/>
    <x v="56"/>
    <s v="0810.70"/>
    <n v="2024"/>
    <n v="918.07020799999998"/>
    <n v="5179.83"/>
  </r>
  <r>
    <s v="USG0287795"/>
    <s v="JP"/>
    <x v="10"/>
    <x v="10"/>
    <x v="1"/>
    <x v="103"/>
    <s v="0807.19"/>
    <n v="18"/>
    <n v="8.1646560000000008"/>
    <n v="182.4"/>
  </r>
  <r>
    <s v="USG0287795"/>
    <s v="JP"/>
    <x v="10"/>
    <x v="10"/>
    <x v="1"/>
    <x v="57"/>
    <s v="0808.10"/>
    <n v="1058"/>
    <n v="479.90033599999998"/>
    <n v="3460.32"/>
  </r>
  <r>
    <s v="131NRT49348751"/>
    <s v="JP"/>
    <x v="10"/>
    <x v="10"/>
    <x v="1"/>
    <x v="34"/>
    <s v="0709.60"/>
    <n v="7"/>
    <n v="3.175144"/>
    <n v="74"/>
  </r>
  <r>
    <s v="131NRT49348751"/>
    <s v="JP"/>
    <x v="10"/>
    <x v="10"/>
    <x v="1"/>
    <x v="1"/>
    <s v="0708.20"/>
    <n v="6"/>
    <n v="2.721552"/>
    <n v="20"/>
  </r>
  <r>
    <s v="131NRT49348751"/>
    <s v="JP"/>
    <x v="10"/>
    <x v="10"/>
    <x v="1"/>
    <x v="61"/>
    <s v="0805.21"/>
    <n v="88"/>
    <n v="39.916095999999996"/>
    <n v="332"/>
  </r>
  <r>
    <s v="131NRT49348751"/>
    <s v="JP"/>
    <x v="10"/>
    <x v="10"/>
    <x v="1"/>
    <x v="56"/>
    <s v="0810.70"/>
    <n v="17"/>
    <n v="7.7110640000000004"/>
    <n v="65"/>
  </r>
  <r>
    <s v="131NRT49348751"/>
    <s v="JP"/>
    <x v="10"/>
    <x v="10"/>
    <x v="1"/>
    <x v="37"/>
    <s v="0709.30"/>
    <n v="47.5"/>
    <n v="21.54562"/>
    <n v="689"/>
  </r>
  <r>
    <s v="131NRT49348751"/>
    <s v="JP"/>
    <x v="10"/>
    <x v="10"/>
    <x v="1"/>
    <x v="10"/>
    <s v="0709.51"/>
    <n v="3"/>
    <n v="1.360776"/>
    <n v="24"/>
  </r>
  <r>
    <s v="131NRT49348751"/>
    <s v="JP"/>
    <x v="10"/>
    <x v="10"/>
    <x v="1"/>
    <x v="17"/>
    <s v="0709.70"/>
    <n v="22"/>
    <n v="9.979023999999999"/>
    <n v="320"/>
  </r>
  <r>
    <s v="131NRT49348751"/>
    <s v="JP"/>
    <x v="10"/>
    <x v="10"/>
    <x v="1"/>
    <x v="18"/>
    <s v="0706.10"/>
    <n v="26"/>
    <n v="11.793392000000001"/>
    <n v="67"/>
  </r>
  <r>
    <s v="131NRT49348751"/>
    <s v="JP"/>
    <x v="10"/>
    <x v="10"/>
    <x v="1"/>
    <x v="80"/>
    <s v="0708.10"/>
    <n v="2"/>
    <n v="0.90718399999999999"/>
    <n v="73"/>
  </r>
  <r>
    <s v="131NRT49348751"/>
    <s v="JP"/>
    <x v="10"/>
    <x v="10"/>
    <x v="1"/>
    <x v="1"/>
    <s v="0708.20"/>
    <n v="4"/>
    <n v="1.814368"/>
    <n v="38"/>
  </r>
  <r>
    <s v="131NRT49348751"/>
    <s v="JP"/>
    <x v="10"/>
    <x v="10"/>
    <x v="1"/>
    <x v="60"/>
    <s v="0714.20"/>
    <n v="11"/>
    <n v="4.9895119999999995"/>
    <n v="40"/>
  </r>
  <r>
    <s v="131NRT49348751"/>
    <s v="JP"/>
    <x v="10"/>
    <x v="10"/>
    <x v="1"/>
    <x v="35"/>
    <s v="0704.90"/>
    <n v="31"/>
    <n v="14.061351999999999"/>
    <n v="248"/>
  </r>
  <r>
    <s v="131NRT49348751"/>
    <s v="JP"/>
    <x v="10"/>
    <x v="10"/>
    <x v="1"/>
    <x v="11"/>
    <s v="0702.00"/>
    <n v="59"/>
    <n v="26.761928000000001"/>
    <n v="1038"/>
  </r>
  <r>
    <s v="131NRT49348751"/>
    <s v="JP"/>
    <x v="10"/>
    <x v="10"/>
    <x v="1"/>
    <x v="4"/>
    <s v="0707.00"/>
    <n v="44"/>
    <n v="19.958047999999998"/>
    <n v="225"/>
  </r>
  <r>
    <s v="131NRT49387100"/>
    <s v="JP"/>
    <x v="10"/>
    <x v="10"/>
    <x v="1"/>
    <x v="4"/>
    <s v="0707.00"/>
    <n v="73"/>
    <n v="33.112215999999997"/>
    <n v="564.36"/>
  </r>
  <r>
    <s v="131NRT49387100"/>
    <s v="JP"/>
    <x v="10"/>
    <x v="10"/>
    <x v="1"/>
    <x v="11"/>
    <s v="0702.00"/>
    <n v="86"/>
    <n v="39.008912000000002"/>
    <n v="783.25"/>
  </r>
  <r>
    <s v="131NRT49387100"/>
    <s v="JP"/>
    <x v="10"/>
    <x v="10"/>
    <x v="1"/>
    <x v="10"/>
    <s v="0709.51"/>
    <n v="7"/>
    <n v="3.175144"/>
    <n v="66.239999999999995"/>
  </r>
  <r>
    <s v="131NRT49387100"/>
    <s v="JP"/>
    <x v="10"/>
    <x v="10"/>
    <x v="1"/>
    <x v="34"/>
    <s v="0709.60"/>
    <n v="6"/>
    <n v="2.721552"/>
    <n v="90.64"/>
  </r>
  <r>
    <s v="131NRT49387100"/>
    <s v="JP"/>
    <x v="10"/>
    <x v="10"/>
    <x v="1"/>
    <x v="37"/>
    <s v="0709.30"/>
    <n v="26"/>
    <n v="11.793392000000001"/>
    <n v="173.04"/>
  </r>
  <r>
    <s v="806ICN11758854"/>
    <s v="KR"/>
    <x v="5"/>
    <x v="5"/>
    <x v="1"/>
    <x v="23"/>
    <s v="0705.11"/>
    <n v="88"/>
    <n v="39.916095999999996"/>
    <n v="123.34"/>
  </r>
  <r>
    <s v="806ICN11758854"/>
    <s v="KR"/>
    <x v="5"/>
    <x v="5"/>
    <x v="1"/>
    <x v="17"/>
    <s v="0709.70"/>
    <n v="68"/>
    <n v="30.844256000000001"/>
    <n v="51.690000000000005"/>
  </r>
  <r>
    <s v="806ICN11758854"/>
    <s v="KR"/>
    <x v="5"/>
    <x v="5"/>
    <x v="1"/>
    <x v="35"/>
    <s v="0704.90"/>
    <n v="33"/>
    <n v="14.968536"/>
    <n v="17.489999999999998"/>
  </r>
  <r>
    <s v="806ICN11758854"/>
    <s v="KR"/>
    <x v="5"/>
    <x v="5"/>
    <x v="1"/>
    <x v="10"/>
    <s v="0709.51"/>
    <n v="66"/>
    <n v="29.937072000000001"/>
    <n v="85.02000000000001"/>
  </r>
  <r>
    <s v="806ICN11758854"/>
    <s v="KR"/>
    <x v="5"/>
    <x v="5"/>
    <x v="1"/>
    <x v="34"/>
    <s v="0709.60"/>
    <n v="24"/>
    <n v="10.886208"/>
    <n v="56.67"/>
  </r>
  <r>
    <s v="806ICN11758854"/>
    <s v="KR"/>
    <x v="5"/>
    <x v="5"/>
    <x v="1"/>
    <x v="25"/>
    <s v="0709.93"/>
    <n v="46"/>
    <n v="20.865231999999999"/>
    <n v="67.5"/>
  </r>
  <r>
    <s v="806ICN11758854"/>
    <s v="KR"/>
    <x v="5"/>
    <x v="5"/>
    <x v="1"/>
    <x v="60"/>
    <s v="0714.20"/>
    <n v="44"/>
    <n v="19.958047999999998"/>
    <n v="48.34"/>
  </r>
  <r>
    <s v="806ICN11758854"/>
    <s v="KR"/>
    <x v="5"/>
    <x v="5"/>
    <x v="1"/>
    <x v="37"/>
    <s v="0709.30"/>
    <n v="13"/>
    <n v="5.8966960000000004"/>
    <n v="15"/>
  </r>
  <r>
    <s v="806ICN11758854"/>
    <s v="KR"/>
    <x v="5"/>
    <x v="5"/>
    <x v="1"/>
    <x v="4"/>
    <s v="0707.00"/>
    <n v="26"/>
    <n v="11.793392000000001"/>
    <n v="35"/>
  </r>
  <r>
    <s v="806ICN11758854"/>
    <s v="KR"/>
    <x v="5"/>
    <x v="5"/>
    <x v="1"/>
    <x v="11"/>
    <s v="0702.00"/>
    <n v="132"/>
    <n v="59.874144000000001"/>
    <n v="500"/>
  </r>
  <r>
    <s v="806ICN11758854"/>
    <s v="KR"/>
    <x v="5"/>
    <x v="5"/>
    <x v="1"/>
    <x v="84"/>
    <s v="0805.21"/>
    <n v="46"/>
    <n v="20.865231999999999"/>
    <n v="41.67"/>
  </r>
  <r>
    <s v="806ICN11758854"/>
    <s v="KR"/>
    <x v="5"/>
    <x v="5"/>
    <x v="1"/>
    <x v="56"/>
    <s v="0810.70"/>
    <n v="22"/>
    <n v="9.979023999999999"/>
    <n v="26.66"/>
  </r>
  <r>
    <s v="806ICN11758854"/>
    <s v="KR"/>
    <x v="5"/>
    <x v="5"/>
    <x v="1"/>
    <x v="22"/>
    <s v="0703.90"/>
    <n v="44"/>
    <n v="19.958047999999998"/>
    <n v="41.66"/>
  </r>
  <r>
    <s v="806ICN11760453"/>
    <s v="KR"/>
    <x v="5"/>
    <x v="5"/>
    <x v="1"/>
    <x v="4"/>
    <s v="0707.00"/>
    <n v="22"/>
    <n v="9.979023999999999"/>
    <n v="65"/>
  </r>
  <r>
    <s v="806ICN11760453"/>
    <s v="KR"/>
    <x v="5"/>
    <x v="5"/>
    <x v="1"/>
    <x v="34"/>
    <s v="0709.60"/>
    <n v="9"/>
    <n v="4.0823280000000004"/>
    <n v="44"/>
  </r>
  <r>
    <s v="806ICN11760453"/>
    <s v="KR"/>
    <x v="5"/>
    <x v="5"/>
    <x v="1"/>
    <x v="61"/>
    <s v="0805.21"/>
    <n v="18"/>
    <n v="8.1646560000000008"/>
    <n v="50"/>
  </r>
  <r>
    <s v="USG0285709"/>
    <s v="KR"/>
    <x v="5"/>
    <x v="5"/>
    <x v="1"/>
    <x v="56"/>
    <s v="0810.70"/>
    <n v="1653"/>
    <n v="749.78757599999994"/>
    <n v="2600"/>
  </r>
  <r>
    <s v="USG0285709"/>
    <s v="KR"/>
    <x v="5"/>
    <x v="5"/>
    <x v="1"/>
    <x v="12"/>
    <s v="0706.10"/>
    <n v="441"/>
    <n v="200.03407200000001"/>
    <n v="880"/>
  </r>
  <r>
    <s v="USG0285709"/>
    <s v="KR"/>
    <x v="5"/>
    <x v="5"/>
    <x v="1"/>
    <x v="103"/>
    <s v="0807.19"/>
    <n v="353"/>
    <n v="160.117976"/>
    <n v="512"/>
  </r>
  <r>
    <s v="USG0285709"/>
    <s v="KR"/>
    <x v="5"/>
    <x v="5"/>
    <x v="1"/>
    <x v="23"/>
    <s v="0705.11"/>
    <n v="70"/>
    <n v="31.751439999999999"/>
    <n v="348"/>
  </r>
  <r>
    <s v="USG0285709"/>
    <s v="KR"/>
    <x v="5"/>
    <x v="5"/>
    <x v="1"/>
    <x v="10"/>
    <s v="0709.51"/>
    <n v="73"/>
    <n v="33.112215999999997"/>
    <n v="122"/>
  </r>
  <r>
    <s v="USG0285709"/>
    <s v="KR"/>
    <x v="5"/>
    <x v="5"/>
    <x v="1"/>
    <x v="25"/>
    <s v="0709.93"/>
    <n v="110"/>
    <n v="49.895119999999999"/>
    <n v="180"/>
  </r>
  <r>
    <s v="USG0285709"/>
    <s v="KR"/>
    <x v="5"/>
    <x v="5"/>
    <x v="1"/>
    <x v="34"/>
    <s v="0709.60"/>
    <n v="58"/>
    <n v="26.308336000000001"/>
    <n v="472"/>
  </r>
  <r>
    <s v="USG0285709"/>
    <s v="KR"/>
    <x v="5"/>
    <x v="5"/>
    <x v="1"/>
    <x v="43"/>
    <s v="0703.20"/>
    <n v="99"/>
    <n v="44.905608000000001"/>
    <n v="172"/>
  </r>
  <r>
    <s v="USG0285709"/>
    <s v="KR"/>
    <x v="5"/>
    <x v="5"/>
    <x v="1"/>
    <x v="60"/>
    <s v="0714.20"/>
    <n v="282"/>
    <n v="127.912944"/>
    <n v="704"/>
  </r>
  <r>
    <s v="USG0285709"/>
    <s v="KR"/>
    <x v="5"/>
    <x v="5"/>
    <x v="1"/>
    <x v="22"/>
    <s v="0703.90"/>
    <n v="661"/>
    <n v="299.82431200000002"/>
    <n v="1120"/>
  </r>
  <r>
    <s v="USG0285709"/>
    <s v="KR"/>
    <x v="5"/>
    <x v="5"/>
    <x v="1"/>
    <x v="58"/>
    <s v="0706.90"/>
    <n v="66"/>
    <n v="29.937072000000001"/>
    <n v="96"/>
  </r>
  <r>
    <s v="USG0285709"/>
    <s v="KR"/>
    <x v="5"/>
    <x v="5"/>
    <x v="1"/>
    <x v="17"/>
    <s v="0709.70"/>
    <n v="66"/>
    <n v="29.937072000000001"/>
    <n v="320"/>
  </r>
  <r>
    <s v="USG0285709"/>
    <s v="KR"/>
    <x v="5"/>
    <x v="5"/>
    <x v="1"/>
    <x v="72"/>
    <s v="0808.30"/>
    <n v="79"/>
    <n v="35.833767999999999"/>
    <n v="182.16"/>
  </r>
  <r>
    <s v="USG0285709"/>
    <s v="KR"/>
    <x v="5"/>
    <x v="5"/>
    <x v="1"/>
    <x v="57"/>
    <s v="0808.10"/>
    <n v="106"/>
    <n v="48.080751999999997"/>
    <n v="211.2"/>
  </r>
  <r>
    <s v="USG0285709"/>
    <s v="KR"/>
    <x v="5"/>
    <x v="5"/>
    <x v="1"/>
    <x v="61"/>
    <s v="0805.21"/>
    <n v="3968"/>
    <n v="1799.8530559999999"/>
    <n v="8080"/>
  </r>
  <r>
    <s v="USG0286675"/>
    <s v="KR"/>
    <x v="5"/>
    <x v="5"/>
    <x v="1"/>
    <x v="56"/>
    <s v="0810.70"/>
    <n v="13349"/>
    <n v="6054.9996080000001"/>
    <n v="20683.84"/>
  </r>
  <r>
    <s v="USG0287127"/>
    <s v="KR"/>
    <x v="5"/>
    <x v="5"/>
    <x v="1"/>
    <x v="11"/>
    <s v="0702.00"/>
    <n v="514"/>
    <n v="233.146288"/>
    <n v="1450.45"/>
  </r>
  <r>
    <s v="USG0287127"/>
    <s v="KR"/>
    <x v="5"/>
    <x v="5"/>
    <x v="1"/>
    <x v="57"/>
    <s v="0808.10"/>
    <n v="66"/>
    <n v="29.937072000000001"/>
    <n v="130.4"/>
  </r>
  <r>
    <s v="USG0287127"/>
    <s v="KR"/>
    <x v="5"/>
    <x v="5"/>
    <x v="1"/>
    <x v="72"/>
    <s v="0808.30"/>
    <n v="75"/>
    <n v="34.019399999999997"/>
    <n v="205"/>
  </r>
  <r>
    <s v="USG0287127"/>
    <s v="KR"/>
    <x v="5"/>
    <x v="5"/>
    <x v="1"/>
    <x v="56"/>
    <s v="0810.70"/>
    <n v="827"/>
    <n v="375.12058400000001"/>
    <n v="1025"/>
  </r>
  <r>
    <s v="USG0287127"/>
    <s v="KR"/>
    <x v="5"/>
    <x v="5"/>
    <x v="1"/>
    <x v="29"/>
    <s v="0806.10"/>
    <n v="1323"/>
    <n v="600.102216"/>
    <n v="2400"/>
  </r>
  <r>
    <s v="USG0287127"/>
    <s v="KR"/>
    <x v="5"/>
    <x v="5"/>
    <x v="1"/>
    <x v="84"/>
    <s v="0805.21"/>
    <n v="220"/>
    <n v="99.790239999999997"/>
    <n v="293.39999999999998"/>
  </r>
  <r>
    <s v="USG0287127"/>
    <s v="KR"/>
    <x v="5"/>
    <x v="5"/>
    <x v="1"/>
    <x v="74"/>
    <s v="0807.19"/>
    <n v="547"/>
    <n v="248.114824"/>
    <n v="496"/>
  </r>
  <r>
    <s v="USG0287127"/>
    <s v="KR"/>
    <x v="5"/>
    <x v="5"/>
    <x v="1"/>
    <x v="10"/>
    <s v="0709.51"/>
    <n v="212"/>
    <n v="96.161503999999994"/>
    <n v="347.28999999999996"/>
  </r>
  <r>
    <s v="USG0287127"/>
    <s v="KR"/>
    <x v="5"/>
    <x v="5"/>
    <x v="1"/>
    <x v="34"/>
    <s v="0709.60"/>
    <n v="331"/>
    <n v="150.13895199999999"/>
    <n v="1164.28"/>
  </r>
  <r>
    <s v="USG0287127"/>
    <s v="KR"/>
    <x v="5"/>
    <x v="5"/>
    <x v="1"/>
    <x v="35"/>
    <s v="0704.90"/>
    <n v="966"/>
    <n v="438.169872"/>
    <n v="1211.5199999999998"/>
  </r>
  <r>
    <s v="USG0287127"/>
    <s v="KR"/>
    <x v="5"/>
    <x v="5"/>
    <x v="1"/>
    <x v="12"/>
    <s v="0706.10"/>
    <n v="4409"/>
    <n v="1999.8871280000001"/>
    <n v="1792"/>
  </r>
  <r>
    <s v="USG0287127"/>
    <s v="KR"/>
    <x v="5"/>
    <x v="5"/>
    <x v="1"/>
    <x v="43"/>
    <s v="0703.20"/>
    <n v="265"/>
    <n v="120.20188"/>
    <n v="342.15"/>
  </r>
  <r>
    <s v="USG0287127"/>
    <s v="KR"/>
    <x v="5"/>
    <x v="5"/>
    <x v="1"/>
    <x v="102"/>
    <s v="0709.93"/>
    <n v="220"/>
    <n v="99.790239999999997"/>
    <n v="142.5"/>
  </r>
  <r>
    <s v="USG0287127"/>
    <s v="KR"/>
    <x v="5"/>
    <x v="5"/>
    <x v="1"/>
    <x v="25"/>
    <s v="0709.93"/>
    <n v="88"/>
    <n v="39.916095999999996"/>
    <n v="89.62"/>
  </r>
  <r>
    <s v="USG0287127"/>
    <s v="KR"/>
    <x v="5"/>
    <x v="5"/>
    <x v="1"/>
    <x v="20"/>
    <s v="0706.90"/>
    <n v="1102"/>
    <n v="499.858384"/>
    <n v="708.6"/>
  </r>
  <r>
    <s v="USG0287127"/>
    <s v="KR"/>
    <x v="5"/>
    <x v="5"/>
    <x v="1"/>
    <x v="60"/>
    <s v="0714.20"/>
    <n v="562"/>
    <n v="254.91870399999999"/>
    <n v="894"/>
  </r>
  <r>
    <s v="USG0287127"/>
    <s v="KR"/>
    <x v="5"/>
    <x v="5"/>
    <x v="1"/>
    <x v="32"/>
    <s v="0703.10"/>
    <n v="75"/>
    <n v="34.019399999999997"/>
    <n v="115.5"/>
  </r>
  <r>
    <s v="USG0285051"/>
    <s v="KR"/>
    <x v="5"/>
    <x v="5"/>
    <x v="1"/>
    <x v="12"/>
    <s v="0706.10"/>
    <n v="17637"/>
    <n v="8000.0021040000001"/>
    <n v="8488"/>
  </r>
  <r>
    <s v="USG0285051"/>
    <s v="KR"/>
    <x v="5"/>
    <x v="5"/>
    <x v="1"/>
    <x v="10"/>
    <s v="0709.51"/>
    <n v="794"/>
    <n v="360.15204799999998"/>
    <n v="1766.4"/>
  </r>
  <r>
    <s v="USG0285051"/>
    <s v="KR"/>
    <x v="5"/>
    <x v="5"/>
    <x v="1"/>
    <x v="35"/>
    <s v="0704.90"/>
    <n v="2646"/>
    <n v="1200.204432"/>
    <n v="2649"/>
  </r>
  <r>
    <s v="USG0285051"/>
    <s v="KR"/>
    <x v="5"/>
    <x v="5"/>
    <x v="1"/>
    <x v="20"/>
    <s v="0706.90"/>
    <n v="3307"/>
    <n v="1500.028744"/>
    <n v="3892"/>
  </r>
  <r>
    <s v="KR00304200"/>
    <s v="KR"/>
    <x v="5"/>
    <x v="5"/>
    <x v="1"/>
    <x v="20"/>
    <s v="0706.90"/>
    <n v="8818"/>
    <n v="3999.7742560000002"/>
    <n v="5400"/>
  </r>
  <r>
    <s v="KR00304200"/>
    <s v="KR"/>
    <x v="5"/>
    <x v="5"/>
    <x v="1"/>
    <x v="29"/>
    <s v="0806.10"/>
    <n v="661"/>
    <n v="299.82431200000002"/>
    <n v="1550"/>
  </r>
  <r>
    <s v="KR00304200"/>
    <s v="KR"/>
    <x v="5"/>
    <x v="5"/>
    <x v="1"/>
    <x v="35"/>
    <s v="0704.90"/>
    <n v="7716"/>
    <n v="3499.915872"/>
    <n v="6300"/>
  </r>
  <r>
    <s v="180ICN29291382"/>
    <s v="KR"/>
    <x v="5"/>
    <x v="5"/>
    <x v="1"/>
    <x v="32"/>
    <s v="0703.10"/>
    <n v="75"/>
    <n v="34.019399999999997"/>
    <n v="115.5"/>
  </r>
  <r>
    <s v="180ICN29291382"/>
    <s v="KR"/>
    <x v="5"/>
    <x v="5"/>
    <x v="1"/>
    <x v="47"/>
    <s v="0709.99"/>
    <n v="11"/>
    <n v="4.9895119999999995"/>
    <n v="64.03"/>
  </r>
  <r>
    <s v="180ICN29291382"/>
    <s v="KR"/>
    <x v="5"/>
    <x v="5"/>
    <x v="1"/>
    <x v="35"/>
    <s v="0704.90"/>
    <n v="11"/>
    <n v="4.9895119999999995"/>
    <n v="49.36"/>
  </r>
  <r>
    <s v="180ICN29291382"/>
    <s v="KR"/>
    <x v="5"/>
    <x v="5"/>
    <x v="1"/>
    <x v="23"/>
    <s v="0705.11"/>
    <n v="84"/>
    <n v="38.101728000000001"/>
    <n v="487.22"/>
  </r>
  <r>
    <s v="180ICN29291382"/>
    <s v="KR"/>
    <x v="5"/>
    <x v="5"/>
    <x v="1"/>
    <x v="34"/>
    <s v="0709.60"/>
    <n v="46"/>
    <n v="20.865231999999999"/>
    <n v="267.92"/>
  </r>
  <r>
    <s v="180ICN29291382"/>
    <s v="KR"/>
    <x v="5"/>
    <x v="5"/>
    <x v="1"/>
    <x v="37"/>
    <s v="0709.30"/>
    <n v="13"/>
    <n v="5.8966960000000004"/>
    <n v="62.72"/>
  </r>
  <r>
    <s v="180ICN29291382"/>
    <s v="KR"/>
    <x v="5"/>
    <x v="5"/>
    <x v="1"/>
    <x v="102"/>
    <s v="0709.93"/>
    <n v="40"/>
    <n v="18.14368"/>
    <n v="177.71"/>
  </r>
  <r>
    <s v="180ICN29291382"/>
    <s v="KR"/>
    <x v="5"/>
    <x v="5"/>
    <x v="1"/>
    <x v="10"/>
    <s v="0709.51"/>
    <n v="75"/>
    <n v="34.019399999999997"/>
    <n v="363.46"/>
  </r>
  <r>
    <s v="180ICN29291382"/>
    <s v="KR"/>
    <x v="5"/>
    <x v="5"/>
    <x v="1"/>
    <x v="56"/>
    <s v="0810.70"/>
    <n v="77"/>
    <n v="34.926583999999998"/>
    <n v="326.44"/>
  </r>
  <r>
    <s v="180ICN29291382"/>
    <s v="KR"/>
    <x v="5"/>
    <x v="5"/>
    <x v="1"/>
    <x v="104"/>
    <s v="0810.90"/>
    <n v="26"/>
    <n v="11.793392000000001"/>
    <n v="185.55"/>
  </r>
  <r>
    <s v="180ICN29291382"/>
    <s v="KR"/>
    <x v="5"/>
    <x v="5"/>
    <x v="1"/>
    <x v="11"/>
    <s v="0702.00"/>
    <n v="79"/>
    <n v="35.833767999999999"/>
    <n v="552.1"/>
  </r>
  <r>
    <s v="180ICN29291382"/>
    <s v="KR"/>
    <x v="5"/>
    <x v="5"/>
    <x v="1"/>
    <x v="29"/>
    <s v="0806.10"/>
    <n v="88"/>
    <n v="39.916095999999996"/>
    <n v="493.72"/>
  </r>
  <r>
    <s v="180ICN29419283"/>
    <s v="KR"/>
    <x v="5"/>
    <x v="5"/>
    <x v="1"/>
    <x v="32"/>
    <s v="0703.10"/>
    <n v="75"/>
    <n v="34.019399999999997"/>
    <n v="115.5"/>
  </r>
  <r>
    <s v="180ICN29419283"/>
    <s v="KR"/>
    <x v="5"/>
    <x v="5"/>
    <x v="1"/>
    <x v="47"/>
    <s v="0709.99"/>
    <n v="15"/>
    <n v="6.8038799999999995"/>
    <n v="71.31"/>
  </r>
  <r>
    <s v="180ICN29419283"/>
    <s v="KR"/>
    <x v="5"/>
    <x v="5"/>
    <x v="1"/>
    <x v="35"/>
    <s v="0704.90"/>
    <n v="26"/>
    <n v="11.793392000000001"/>
    <n v="109.42999999999999"/>
  </r>
  <r>
    <s v="180ICN29419283"/>
    <s v="KR"/>
    <x v="5"/>
    <x v="5"/>
    <x v="1"/>
    <x v="23"/>
    <s v="0705.11"/>
    <n v="44"/>
    <n v="19.958047999999998"/>
    <n v="174.96"/>
  </r>
  <r>
    <s v="180ICN29419283"/>
    <s v="KR"/>
    <x v="5"/>
    <x v="5"/>
    <x v="1"/>
    <x v="17"/>
    <s v="0709.70"/>
    <n v="42"/>
    <n v="19.050864000000001"/>
    <n v="262.18"/>
  </r>
  <r>
    <s v="180ICN29419283"/>
    <s v="KR"/>
    <x v="5"/>
    <x v="5"/>
    <x v="1"/>
    <x v="34"/>
    <s v="0709.60"/>
    <n v="69"/>
    <n v="31.297847999999998"/>
    <n v="365.37"/>
  </r>
  <r>
    <s v="180ICN29419283"/>
    <s v="KR"/>
    <x v="5"/>
    <x v="5"/>
    <x v="1"/>
    <x v="37"/>
    <s v="0709.30"/>
    <n v="13"/>
    <n v="5.8966960000000004"/>
    <n v="60.33"/>
  </r>
  <r>
    <s v="180ICN29419283"/>
    <s v="KR"/>
    <x v="5"/>
    <x v="5"/>
    <x v="1"/>
    <x v="102"/>
    <s v="0709.93"/>
    <n v="40"/>
    <n v="18.14368"/>
    <n v="160.02000000000001"/>
  </r>
  <r>
    <s v="180ICN29419283"/>
    <s v="KR"/>
    <x v="5"/>
    <x v="5"/>
    <x v="1"/>
    <x v="10"/>
    <s v="0709.51"/>
    <n v="73"/>
    <n v="33.112215999999997"/>
    <n v="339.48"/>
  </r>
  <r>
    <s v="180ICN29419283"/>
    <s v="KR"/>
    <x v="5"/>
    <x v="5"/>
    <x v="1"/>
    <x v="56"/>
    <s v="0810.70"/>
    <n v="97"/>
    <n v="43.998424"/>
    <n v="487.77"/>
  </r>
  <r>
    <s v="180ICN29419283"/>
    <s v="KR"/>
    <x v="5"/>
    <x v="5"/>
    <x v="1"/>
    <x v="11"/>
    <s v="0702.00"/>
    <n v="79"/>
    <n v="35.833767999999999"/>
    <n v="538.79999999999995"/>
  </r>
  <r>
    <s v="180ICN29419283"/>
    <s v="KR"/>
    <x v="5"/>
    <x v="5"/>
    <x v="1"/>
    <x v="29"/>
    <s v="0806.10"/>
    <n v="44"/>
    <n v="19.958047999999998"/>
    <n v="247.72"/>
  </r>
  <r>
    <s v="180ICN29363714"/>
    <s v="KR"/>
    <x v="5"/>
    <x v="5"/>
    <x v="1"/>
    <x v="32"/>
    <s v="0703.10"/>
    <n v="75"/>
    <n v="34.019399999999997"/>
    <n v="115.5"/>
  </r>
  <r>
    <s v="180ICN29363714"/>
    <s v="KR"/>
    <x v="5"/>
    <x v="5"/>
    <x v="1"/>
    <x v="47"/>
    <s v="0709.99"/>
    <n v="13"/>
    <n v="5.8966960000000004"/>
    <n v="61.42"/>
  </r>
  <r>
    <s v="180ICN29363714"/>
    <s v="KR"/>
    <x v="5"/>
    <x v="5"/>
    <x v="1"/>
    <x v="35"/>
    <s v="0704.90"/>
    <n v="15"/>
    <n v="6.8038799999999995"/>
    <n v="58.15"/>
  </r>
  <r>
    <s v="180ICN29363714"/>
    <s v="KR"/>
    <x v="5"/>
    <x v="5"/>
    <x v="1"/>
    <x v="23"/>
    <s v="0705.11"/>
    <n v="62"/>
    <n v="28.122703999999999"/>
    <n v="283.95000000000005"/>
  </r>
  <r>
    <s v="180ICN29363714"/>
    <s v="KR"/>
    <x v="5"/>
    <x v="5"/>
    <x v="1"/>
    <x v="17"/>
    <s v="0709.70"/>
    <n v="31"/>
    <n v="14.061351999999999"/>
    <n v="202.54999999999998"/>
  </r>
  <r>
    <s v="180ICN29363714"/>
    <s v="KR"/>
    <x v="5"/>
    <x v="5"/>
    <x v="1"/>
    <x v="34"/>
    <s v="0709.60"/>
    <n v="107"/>
    <n v="48.534343999999997"/>
    <n v="650.69000000000005"/>
  </r>
  <r>
    <s v="180ICN29363714"/>
    <s v="KR"/>
    <x v="5"/>
    <x v="5"/>
    <x v="1"/>
    <x v="37"/>
    <s v="0709.30"/>
    <n v="13"/>
    <n v="5.8966960000000004"/>
    <n v="61.99"/>
  </r>
  <r>
    <s v="180ICN29363714"/>
    <s v="KR"/>
    <x v="5"/>
    <x v="5"/>
    <x v="1"/>
    <x v="102"/>
    <s v="0709.93"/>
    <n v="26"/>
    <n v="11.793392000000001"/>
    <n v="95.32"/>
  </r>
  <r>
    <s v="180ICN29363714"/>
    <s v="KR"/>
    <x v="5"/>
    <x v="5"/>
    <x v="1"/>
    <x v="10"/>
    <s v="0709.51"/>
    <n v="71"/>
    <n v="32.205032000000003"/>
    <n v="337.61"/>
  </r>
  <r>
    <s v="180ICN29363714"/>
    <s v="KR"/>
    <x v="5"/>
    <x v="5"/>
    <x v="1"/>
    <x v="56"/>
    <s v="0810.70"/>
    <n v="77"/>
    <n v="34.926583999999998"/>
    <n v="307.68"/>
  </r>
  <r>
    <s v="180ICN29363714"/>
    <s v="KR"/>
    <x v="5"/>
    <x v="5"/>
    <x v="1"/>
    <x v="11"/>
    <s v="0702.00"/>
    <n v="79"/>
    <n v="35.833767999999999"/>
    <n v="769.71"/>
  </r>
  <r>
    <s v="180ICN29363714"/>
    <s v="KR"/>
    <x v="5"/>
    <x v="5"/>
    <x v="1"/>
    <x v="29"/>
    <s v="0806.10"/>
    <n v="44"/>
    <n v="19.958047999999998"/>
    <n v="240.98"/>
  </r>
  <r>
    <s v="180AKL69830880"/>
    <s v="NZ"/>
    <x v="4"/>
    <x v="4"/>
    <x v="1"/>
    <x v="26"/>
    <s v="0810.10"/>
    <n v="1201"/>
    <n v="544.76399200000003"/>
    <n v="7500"/>
  </r>
  <r>
    <s v="180AKL69830950"/>
    <s v="NZ"/>
    <x v="4"/>
    <x v="4"/>
    <x v="1"/>
    <x v="40"/>
    <s v="0810.20"/>
    <n v="298"/>
    <n v="135.17041599999999"/>
    <n v="3735"/>
  </r>
  <r>
    <s v="180AKL69830950"/>
    <s v="NZ"/>
    <x v="4"/>
    <x v="4"/>
    <x v="1"/>
    <x v="26"/>
    <s v="0810.10"/>
    <n v="1441"/>
    <n v="653.62607200000002"/>
    <n v="8640"/>
  </r>
  <r>
    <s v="180AKL69830924"/>
    <s v="NZ"/>
    <x v="4"/>
    <x v="4"/>
    <x v="1"/>
    <x v="40"/>
    <s v="0810.20"/>
    <n v="298"/>
    <n v="135.17041599999999"/>
    <n v="4050"/>
  </r>
  <r>
    <s v="180AKL69830924"/>
    <s v="NZ"/>
    <x v="4"/>
    <x v="4"/>
    <x v="1"/>
    <x v="26"/>
    <s v="0810.10"/>
    <n v="1601"/>
    <n v="726.20079199999998"/>
    <n v="10000"/>
  </r>
  <r>
    <s v="180AKL69830913"/>
    <s v="NZ"/>
    <x v="4"/>
    <x v="4"/>
    <x v="1"/>
    <x v="26"/>
    <s v="0810.10"/>
    <n v="865"/>
    <n v="392.35708"/>
    <n v="5400"/>
  </r>
  <r>
    <s v="MATS3812633-000"/>
    <s v="US , HI"/>
    <x v="0"/>
    <x v="0"/>
    <x v="0"/>
    <x v="75"/>
    <s v="0804.30"/>
    <n v="7500"/>
    <n v="3401.94"/>
    <n v="19335.8"/>
  </r>
  <r>
    <s v="MATS8501398-000"/>
    <s v="US"/>
    <x v="0"/>
    <x v="0"/>
    <x v="0"/>
    <x v="57"/>
    <s v="0808.10"/>
    <n v="2724"/>
    <n v="1235.5846079999999"/>
    <n v="3049.0199999999995"/>
  </r>
  <r>
    <s v="MATS8501398-000"/>
    <s v="MX"/>
    <x v="2"/>
    <x v="2"/>
    <x v="1"/>
    <x v="69"/>
    <s v="0805.50"/>
    <n v="115"/>
    <n v="52.163080000000001"/>
    <n v="272.19000000000005"/>
  </r>
  <r>
    <s v="MATS8501398-000"/>
    <s v="CL"/>
    <x v="11"/>
    <x v="11"/>
    <x v="1"/>
    <x v="29"/>
    <s v="0806.10"/>
    <n v="900"/>
    <n v="408.2328"/>
    <n v="2566.4"/>
  </r>
  <r>
    <s v="MATS8501398-000"/>
    <s v="CL"/>
    <x v="11"/>
    <x v="11"/>
    <x v="1"/>
    <x v="29"/>
    <s v="0806.10"/>
    <n v="900"/>
    <n v="408.2328"/>
    <n v="2566.4"/>
  </r>
  <r>
    <s v="MATS8501398-000"/>
    <s v="US"/>
    <x v="0"/>
    <x v="0"/>
    <x v="0"/>
    <x v="76"/>
    <s v="0807.11"/>
    <n v="4900"/>
    <n v="2222.6008000000002"/>
    <n v="3627.47"/>
  </r>
  <r>
    <s v="MATS8501398-000"/>
    <s v="US"/>
    <x v="0"/>
    <x v="0"/>
    <x v="0"/>
    <x v="73"/>
    <s v="0807.19"/>
    <n v="280"/>
    <n v="127.00576"/>
    <n v="255.79"/>
  </r>
  <r>
    <s v="MATS8501398-000"/>
    <s v="MX"/>
    <x v="2"/>
    <x v="2"/>
    <x v="1"/>
    <x v="74"/>
    <s v="0807.19"/>
    <n v="200"/>
    <n v="90.718400000000003"/>
    <n v="212.34"/>
  </r>
  <r>
    <s v="MATS8501398-000"/>
    <s v="US"/>
    <x v="0"/>
    <x v="0"/>
    <x v="0"/>
    <x v="64"/>
    <s v="0805.50"/>
    <n v="322"/>
    <n v="146.056624"/>
    <n v="569.27"/>
  </r>
  <r>
    <s v="MATS8501398-000"/>
    <s v="US"/>
    <x v="0"/>
    <x v="0"/>
    <x v="0"/>
    <x v="65"/>
    <s v="0810.50"/>
    <n v="300"/>
    <n v="136.07759999999999"/>
    <n v="763.59"/>
  </r>
  <r>
    <s v="MATS8501398-000"/>
    <s v="MX"/>
    <x v="2"/>
    <x v="2"/>
    <x v="1"/>
    <x v="3"/>
    <s v="0704.20"/>
    <n v="25"/>
    <n v="11.3398"/>
    <n v="38.54"/>
  </r>
  <r>
    <s v="MATS8501398-000"/>
    <s v="CN"/>
    <x v="8"/>
    <x v="8"/>
    <x v="1"/>
    <x v="77"/>
    <s v="0910.11"/>
    <n v="120"/>
    <n v="54.431039999999996"/>
    <n v="260.10000000000002"/>
  </r>
  <r>
    <s v="MATS8501398-000"/>
    <s v="US"/>
    <x v="0"/>
    <x v="0"/>
    <x v="0"/>
    <x v="32"/>
    <s v="0703.10"/>
    <n v="75"/>
    <n v="34.019399999999997"/>
    <n v="115.5"/>
  </r>
  <r>
    <s v="MATS8501398-000"/>
    <s v="US"/>
    <x v="0"/>
    <x v="0"/>
    <x v="0"/>
    <x v="47"/>
    <s v="0709.99"/>
    <n v="11"/>
    <n v="4.9895119999999995"/>
    <n v="42.73"/>
  </r>
  <r>
    <s v="MATS8501398-000"/>
    <s v="US"/>
    <x v="0"/>
    <x v="0"/>
    <x v="0"/>
    <x v="2"/>
    <s v="0704.90"/>
    <n v="294"/>
    <n v="133.35604799999999"/>
    <n v="464.77000000000004"/>
  </r>
  <r>
    <s v="MATS8501398-000"/>
    <s v="US"/>
    <x v="0"/>
    <x v="0"/>
    <x v="0"/>
    <x v="35"/>
    <s v="0704.90"/>
    <n v="1150"/>
    <n v="521.63080000000002"/>
    <n v="1220.52"/>
  </r>
  <r>
    <s v="MATS8501398-000"/>
    <s v="US"/>
    <x v="0"/>
    <x v="0"/>
    <x v="0"/>
    <x v="60"/>
    <s v="0714.20"/>
    <n v="2820"/>
    <n v="1279.1294399999999"/>
    <n v="1957.13"/>
  </r>
  <r>
    <s v="MATS8501398-000"/>
    <s v="US"/>
    <x v="0"/>
    <x v="0"/>
    <x v="0"/>
    <x v="12"/>
    <s v="0706.10"/>
    <n v="160"/>
    <n v="72.574719999999999"/>
    <n v="220.28"/>
  </r>
  <r>
    <s v="MATS8501398-000"/>
    <s v="US"/>
    <x v="0"/>
    <x v="0"/>
    <x v="0"/>
    <x v="12"/>
    <s v="0706.10"/>
    <n v="486"/>
    <n v="220.44571199999999"/>
    <n v="412.94"/>
  </r>
  <r>
    <s v="MATS8501398-000"/>
    <s v="MX"/>
    <x v="2"/>
    <x v="2"/>
    <x v="1"/>
    <x v="25"/>
    <s v="0709.93"/>
    <n v="280"/>
    <n v="127.00576"/>
    <n v="315.55"/>
  </r>
  <r>
    <s v="MATS8501398-000"/>
    <s v="US"/>
    <x v="0"/>
    <x v="0"/>
    <x v="0"/>
    <x v="0"/>
    <s v="0709.20"/>
    <n v="121"/>
    <n v="54.884631999999996"/>
    <n v="437.43"/>
  </r>
  <r>
    <s v="MATS8501398-000"/>
    <s v="US"/>
    <x v="0"/>
    <x v="0"/>
    <x v="0"/>
    <x v="47"/>
    <s v="0709.99"/>
    <n v="4"/>
    <n v="1.814368"/>
    <n v="21.37"/>
  </r>
  <r>
    <s v="MATS8501398-000"/>
    <s v="MX"/>
    <x v="2"/>
    <x v="2"/>
    <x v="1"/>
    <x v="11"/>
    <s v="0702.00"/>
    <n v="1038"/>
    <n v="470.82849599999997"/>
    <n v="2114.56"/>
  </r>
  <r>
    <s v="MATS8501398-000"/>
    <s v="US"/>
    <x v="0"/>
    <x v="0"/>
    <x v="0"/>
    <x v="39"/>
    <s v="0704.90"/>
    <n v="48"/>
    <n v="21.772416"/>
    <n v="53.06"/>
  </r>
  <r>
    <s v="MATS8501398-000"/>
    <s v="US"/>
    <x v="0"/>
    <x v="0"/>
    <x v="0"/>
    <x v="21"/>
    <s v="0709.40"/>
    <n v="33"/>
    <n v="14.968536"/>
    <n v="238.87"/>
  </r>
  <r>
    <s v="MATS8501398-000"/>
    <s v="US"/>
    <x v="0"/>
    <x v="0"/>
    <x v="0"/>
    <x v="36"/>
    <s v="0709.99"/>
    <n v="12"/>
    <n v="5.4431039999999999"/>
    <n v="60.98"/>
  </r>
  <r>
    <s v="MATS8501398-000"/>
    <s v="US"/>
    <x v="0"/>
    <x v="0"/>
    <x v="0"/>
    <x v="63"/>
    <s v="0714.30"/>
    <n v="57"/>
    <n v="25.854744"/>
    <n v="141.19"/>
  </r>
  <r>
    <s v="MATS8501398-000"/>
    <s v="US"/>
    <x v="0"/>
    <x v="0"/>
    <x v="0"/>
    <x v="23"/>
    <s v="0705.11"/>
    <n v="719"/>
    <n v="326.13264800000002"/>
    <n v="1573.9499999999998"/>
  </r>
  <r>
    <s v="MATS8501398-000"/>
    <s v="MX"/>
    <x v="2"/>
    <x v="2"/>
    <x v="1"/>
    <x v="27"/>
    <s v="0804.40"/>
    <n v="375"/>
    <n v="170.09700000000001"/>
    <n v="757.43"/>
  </r>
  <r>
    <s v="MATS8501398-000"/>
    <s v="US"/>
    <x v="0"/>
    <x v="0"/>
    <x v="0"/>
    <x v="61"/>
    <s v="0805.21"/>
    <n v="2040"/>
    <n v="925.32767999999999"/>
    <n v="4790"/>
  </r>
  <r>
    <s v="MATS8501398-000"/>
    <s v="CA"/>
    <x v="3"/>
    <x v="3"/>
    <x v="1"/>
    <x v="10"/>
    <s v="0709.51"/>
    <n v="18"/>
    <n v="8.1646560000000008"/>
    <n v="39.64"/>
  </r>
  <r>
    <s v="MATS8501398-000"/>
    <s v="CR"/>
    <x v="12"/>
    <x v="12"/>
    <x v="1"/>
    <x v="75"/>
    <s v="0804.30"/>
    <n v="140"/>
    <n v="63.502879999999998"/>
    <n v="235.23"/>
  </r>
  <r>
    <s v="MATS8501398-000"/>
    <s v="MX"/>
    <x v="2"/>
    <x v="2"/>
    <x v="1"/>
    <x v="34"/>
    <s v="0709.60"/>
    <n v="844"/>
    <n v="382.83164799999997"/>
    <n v="1566.1599999999999"/>
  </r>
  <r>
    <s v="MATS8501398-000"/>
    <s v="MX"/>
    <x v="2"/>
    <x v="2"/>
    <x v="1"/>
    <x v="34"/>
    <s v="0709.60"/>
    <n v="140"/>
    <n v="63.502879999999998"/>
    <n v="238.51000000000002"/>
  </r>
  <r>
    <s v="MATS8501398-000"/>
    <s v="US"/>
    <x v="0"/>
    <x v="0"/>
    <x v="0"/>
    <x v="33"/>
    <s v="0704.10"/>
    <n v="132"/>
    <n v="59.874144000000001"/>
    <n v="117.71"/>
  </r>
  <r>
    <s v="MATS8501398-000"/>
    <s v="US"/>
    <x v="0"/>
    <x v="0"/>
    <x v="0"/>
    <x v="105"/>
    <s v="0809.30"/>
    <n v="96"/>
    <n v="43.544832"/>
    <n v="233.07"/>
  </r>
  <r>
    <s v="MATS8501398-000"/>
    <s v="MX"/>
    <x v="2"/>
    <x v="2"/>
    <x v="1"/>
    <x v="64"/>
    <s v="0805.50"/>
    <n v="36"/>
    <n v="16.329312000000002"/>
    <n v="47.58"/>
  </r>
  <r>
    <s v="MATS8501398-000"/>
    <s v="US"/>
    <x v="0"/>
    <x v="0"/>
    <x v="0"/>
    <x v="67"/>
    <s v="0805.40"/>
    <n v="120"/>
    <n v="54.431039999999996"/>
    <n v="203.57"/>
  </r>
  <r>
    <s v="MATS8501398-000"/>
    <s v="US"/>
    <x v="0"/>
    <x v="0"/>
    <x v="0"/>
    <x v="72"/>
    <s v="0808.30"/>
    <n v="96"/>
    <n v="43.544832"/>
    <n v="152.91"/>
  </r>
  <r>
    <s v="MATS8501398-000"/>
    <s v="MX"/>
    <x v="2"/>
    <x v="2"/>
    <x v="1"/>
    <x v="43"/>
    <s v="0703.20"/>
    <n v="12"/>
    <n v="5.4431039999999999"/>
    <n v="24.31"/>
  </r>
  <r>
    <s v="MATS8501398-000"/>
    <s v="US"/>
    <x v="0"/>
    <x v="0"/>
    <x v="0"/>
    <x v="106"/>
    <s v="0809.10"/>
    <n v="144"/>
    <n v="65.317248000000006"/>
    <n v="322.77999999999997"/>
  </r>
  <r>
    <s v="016LAX63513660"/>
    <s v="US , IL"/>
    <x v="0"/>
    <x v="0"/>
    <x v="0"/>
    <x v="35"/>
    <s v="0704.90"/>
    <n v="529"/>
    <n v="239.95016799999999"/>
    <n v="3948"/>
  </r>
  <r>
    <s v="MATS5760714-000"/>
    <s v="US , CA"/>
    <x v="0"/>
    <x v="0"/>
    <x v="0"/>
    <x v="71"/>
    <s v="0803.00"/>
    <n v="36480"/>
    <n v="16547.03616"/>
    <n v="15868.8"/>
  </r>
  <r>
    <s v="MATS4672627-000"/>
    <s v="US , CA"/>
    <x v="0"/>
    <x v="0"/>
    <x v="0"/>
    <x v="71"/>
    <s v="0803.00"/>
    <n v="36480"/>
    <n v="16547.03616"/>
    <n v="15868.8"/>
  </r>
  <r>
    <s v="MATS2876911-000"/>
    <s v="US , CA"/>
    <x v="0"/>
    <x v="0"/>
    <x v="0"/>
    <x v="29"/>
    <s v="0806.10"/>
    <n v="720"/>
    <n v="326.58623999999998"/>
    <n v="1800"/>
  </r>
  <r>
    <s v="MATS2876911-000"/>
    <s v="US , CA"/>
    <x v="0"/>
    <x v="0"/>
    <x v="0"/>
    <x v="67"/>
    <s v="0805.40"/>
    <n v="750"/>
    <n v="340.19400000000002"/>
    <n v="896.4"/>
  </r>
  <r>
    <s v="MATS2876911-000"/>
    <s v="US , CA"/>
    <x v="0"/>
    <x v="0"/>
    <x v="0"/>
    <x v="16"/>
    <s v="0804.50"/>
    <n v="2800"/>
    <n v="1270.0576000000001"/>
    <n v="6828.5"/>
  </r>
  <r>
    <s v="MATS2876911-000"/>
    <s v="US , CA"/>
    <x v="0"/>
    <x v="0"/>
    <x v="0"/>
    <x v="74"/>
    <s v="0807.19"/>
    <n v="2750"/>
    <n v="1247.3779999999999"/>
    <n v="1664.3"/>
  </r>
  <r>
    <s v="MATS2876911-000"/>
    <s v="US , CA"/>
    <x v="0"/>
    <x v="0"/>
    <x v="0"/>
    <x v="103"/>
    <s v="0807.19"/>
    <n v="1500"/>
    <n v="680.38800000000003"/>
    <n v="1200"/>
  </r>
  <r>
    <s v="MATS2876911-000"/>
    <s v="US , CA"/>
    <x v="0"/>
    <x v="0"/>
    <x v="0"/>
    <x v="76"/>
    <s v="0807.11"/>
    <n v="18245"/>
    <n v="8275.786039999999"/>
    <n v="6575.53"/>
  </r>
  <r>
    <s v="MATS2876911-000"/>
    <s v="US , CA"/>
    <x v="0"/>
    <x v="0"/>
    <x v="0"/>
    <x v="34"/>
    <s v="0709.60"/>
    <n v="3707"/>
    <n v="1681.4655439999999"/>
    <n v="9711.0300000000007"/>
  </r>
  <r>
    <s v="MATS2876911-000"/>
    <s v="US , CA"/>
    <x v="0"/>
    <x v="0"/>
    <x v="0"/>
    <x v="11"/>
    <s v="0702.00"/>
    <n v="6705"/>
    <n v="3041.3343599999998"/>
    <n v="11022.27"/>
  </r>
  <r>
    <s v="MATS7905311-000"/>
    <s v="US , CA"/>
    <x v="0"/>
    <x v="0"/>
    <x v="0"/>
    <x v="0"/>
    <s v="0709.20"/>
    <n v="605"/>
    <n v="274.42316"/>
    <n v="2146.1"/>
  </r>
  <r>
    <s v="MATS7905311-000"/>
    <s v="US , CA"/>
    <x v="0"/>
    <x v="0"/>
    <x v="0"/>
    <x v="58"/>
    <s v="0706.90"/>
    <n v="250"/>
    <n v="113.398"/>
    <n v="206.69"/>
  </r>
  <r>
    <s v="MATS7905311-000"/>
    <s v="US , CA"/>
    <x v="0"/>
    <x v="0"/>
    <x v="0"/>
    <x v="2"/>
    <s v="0704.90"/>
    <n v="2404"/>
    <n v="1090.435168"/>
    <n v="4754.21"/>
  </r>
  <r>
    <s v="MATS7905311-000"/>
    <s v="US , CA"/>
    <x v="0"/>
    <x v="0"/>
    <x v="0"/>
    <x v="3"/>
    <s v="0704.20"/>
    <n v="275"/>
    <n v="124.73779999999999"/>
    <n v="375.65"/>
  </r>
  <r>
    <s v="MATS7905311-000"/>
    <s v="US , CA"/>
    <x v="0"/>
    <x v="0"/>
    <x v="0"/>
    <x v="35"/>
    <s v="0704.90"/>
    <n v="13015"/>
    <n v="5903.4998800000003"/>
    <n v="9440.84"/>
  </r>
  <r>
    <s v="MATS7905311-000"/>
    <s v="US , CA"/>
    <x v="0"/>
    <x v="0"/>
    <x v="0"/>
    <x v="33"/>
    <s v="0704.10"/>
    <n v="828"/>
    <n v="375.57417600000002"/>
    <n v="915.48"/>
  </r>
  <r>
    <s v="MATS7905311-000"/>
    <s v="US , CA"/>
    <x v="0"/>
    <x v="0"/>
    <x v="0"/>
    <x v="21"/>
    <s v="0709.40"/>
    <n v="3275"/>
    <n v="1485.5137999999999"/>
    <n v="2026"/>
  </r>
  <r>
    <s v="MATS7905311-000"/>
    <s v="US , CA"/>
    <x v="0"/>
    <x v="0"/>
    <x v="0"/>
    <x v="53"/>
    <s v="0704.90"/>
    <n v="144"/>
    <n v="65.317248000000006"/>
    <n v="219.51"/>
  </r>
  <r>
    <s v="MATS7905311-000"/>
    <s v="US , CA"/>
    <x v="0"/>
    <x v="0"/>
    <x v="0"/>
    <x v="36"/>
    <s v="0709.99"/>
    <n v="160"/>
    <n v="72.574719999999999"/>
    <n v="202.44"/>
  </r>
  <r>
    <s v="MATS7905311-000"/>
    <s v="US , CA"/>
    <x v="0"/>
    <x v="0"/>
    <x v="0"/>
    <x v="43"/>
    <s v="0703.20"/>
    <n v="90"/>
    <n v="40.823279999999997"/>
    <n v="306.77999999999997"/>
  </r>
  <r>
    <s v="MATS7905311-000"/>
    <s v="US , CA"/>
    <x v="0"/>
    <x v="0"/>
    <x v="0"/>
    <x v="77"/>
    <s v="0910.11"/>
    <n v="1445"/>
    <n v="655.44043999999997"/>
    <n v="2340.44"/>
  </r>
  <r>
    <s v="MATS7905311-000"/>
    <s v="US , CA"/>
    <x v="0"/>
    <x v="0"/>
    <x v="0"/>
    <x v="39"/>
    <s v="0704.90"/>
    <n v="233"/>
    <n v="105.686936"/>
    <n v="403.68"/>
  </r>
  <r>
    <s v="MATS7905311-000"/>
    <s v="US , CA"/>
    <x v="0"/>
    <x v="0"/>
    <x v="0"/>
    <x v="23"/>
    <s v="0705.11"/>
    <n v="2849"/>
    <n v="1292.283608"/>
    <n v="4338.57"/>
  </r>
  <r>
    <s v="MATS7905311-000"/>
    <s v="US , CA"/>
    <x v="0"/>
    <x v="0"/>
    <x v="0"/>
    <x v="22"/>
    <s v="0703.90"/>
    <n v="1880"/>
    <n v="852.75296000000003"/>
    <n v="1661.92"/>
  </r>
  <r>
    <s v="MATS7905311-000"/>
    <s v="US , CA"/>
    <x v="0"/>
    <x v="0"/>
    <x v="0"/>
    <x v="22"/>
    <s v="0703.90"/>
    <n v="138"/>
    <n v="62.595695999999997"/>
    <n v="289.02"/>
  </r>
  <r>
    <s v="MATS7905311-000"/>
    <s v="US , CA"/>
    <x v="0"/>
    <x v="0"/>
    <x v="0"/>
    <x v="47"/>
    <s v="0709.99"/>
    <n v="60"/>
    <n v="27.215519999999998"/>
    <n v="109.75"/>
  </r>
  <r>
    <s v="MATS7905311-000"/>
    <s v="US , CA"/>
    <x v="0"/>
    <x v="0"/>
    <x v="0"/>
    <x v="80"/>
    <s v="0708.10"/>
    <n v="10"/>
    <n v="4.53592"/>
    <n v="48.78"/>
  </r>
  <r>
    <s v="MATS7905311-000"/>
    <s v="US , CA"/>
    <x v="0"/>
    <x v="0"/>
    <x v="0"/>
    <x v="80"/>
    <s v="0708.10"/>
    <n v="200"/>
    <n v="90.718400000000003"/>
    <n v="768.2"/>
  </r>
  <r>
    <s v="MATS7905311-000"/>
    <s v="US , CA"/>
    <x v="0"/>
    <x v="0"/>
    <x v="0"/>
    <x v="34"/>
    <s v="0709.60"/>
    <n v="290"/>
    <n v="131.54167999999999"/>
    <n v="556.67999999999995"/>
  </r>
  <r>
    <s v="MATS7905311-000"/>
    <s v="US , CA"/>
    <x v="0"/>
    <x v="0"/>
    <x v="0"/>
    <x v="20"/>
    <s v="0706.90"/>
    <n v="734"/>
    <n v="332.93652800000001"/>
    <n v="479.24"/>
  </r>
  <r>
    <s v="MATS7905311-000"/>
    <s v="US , CA"/>
    <x v="0"/>
    <x v="0"/>
    <x v="0"/>
    <x v="25"/>
    <s v="0709.93"/>
    <n v="24"/>
    <n v="10.886208"/>
    <n v="20.12"/>
  </r>
  <r>
    <s v="MATS7905311-000"/>
    <s v="US , CA"/>
    <x v="0"/>
    <x v="0"/>
    <x v="0"/>
    <x v="63"/>
    <s v="0714.30"/>
    <n v="520"/>
    <n v="235.86784"/>
    <n v="1097.5999999999999"/>
  </r>
  <r>
    <s v="MATS7905311-000"/>
    <s v="US , CA"/>
    <x v="0"/>
    <x v="0"/>
    <x v="0"/>
    <x v="11"/>
    <s v="0702.00"/>
    <n v="182"/>
    <n v="82.553743999999995"/>
    <n v="864.68"/>
  </r>
  <r>
    <s v="MATS7905311-000"/>
    <s v="US , CA"/>
    <x v="0"/>
    <x v="0"/>
    <x v="0"/>
    <x v="32"/>
    <s v="0703.10"/>
    <n v="75"/>
    <n v="34.019399999999997"/>
    <n v="115.5"/>
  </r>
  <r>
    <s v="MATS7905311-000"/>
    <s v="US , CA"/>
    <x v="0"/>
    <x v="0"/>
    <x v="0"/>
    <x v="27"/>
    <s v="0804.40"/>
    <n v="81"/>
    <n v="36.740952"/>
    <n v="285.36"/>
  </r>
  <r>
    <s v="MATS7905311-000"/>
    <s v="US , CA"/>
    <x v="0"/>
    <x v="0"/>
    <x v="0"/>
    <x v="34"/>
    <s v="0709.60"/>
    <n v="26"/>
    <n v="11.793392000000001"/>
    <n v="128.04"/>
  </r>
  <r>
    <s v="MATS4008576000"/>
    <s v="US , CA"/>
    <x v="0"/>
    <x v="0"/>
    <x v="0"/>
    <x v="57"/>
    <s v="0808.10"/>
    <n v="7960"/>
    <n v="3610.5923199999997"/>
    <n v="9086.9500000000007"/>
  </r>
  <r>
    <s v="MATS4008576000"/>
    <s v="US , CA"/>
    <x v="0"/>
    <x v="0"/>
    <x v="0"/>
    <x v="72"/>
    <s v="0808.30"/>
    <n v="3080"/>
    <n v="1397.0633599999999"/>
    <n v="2856.5"/>
  </r>
  <r>
    <s v="MATS4428768-000"/>
    <s v="US , CA"/>
    <x v="0"/>
    <x v="0"/>
    <x v="0"/>
    <x v="29"/>
    <s v="0806.10"/>
    <n v="6372"/>
    <n v="2890.2882239999999"/>
    <n v="14554"/>
  </r>
  <r>
    <s v="MATS4428768-000"/>
    <s v="US , CA"/>
    <x v="0"/>
    <x v="0"/>
    <x v="0"/>
    <x v="29"/>
    <s v="0806.10"/>
    <n v="3906"/>
    <n v="1771.730352"/>
    <n v="8897"/>
  </r>
  <r>
    <s v="MATS4428768-000"/>
    <s v="US , CA"/>
    <x v="0"/>
    <x v="0"/>
    <x v="0"/>
    <x v="64"/>
    <s v="0805.50"/>
    <n v="4040"/>
    <n v="1832.5116800000001"/>
    <n v="4064.24"/>
  </r>
  <r>
    <s v="MATS4428768-000"/>
    <s v="US , CA"/>
    <x v="0"/>
    <x v="0"/>
    <x v="0"/>
    <x v="23"/>
    <s v="0705.11"/>
    <n v="7136"/>
    <n v="3236.832512"/>
    <n v="5709.0599999999995"/>
  </r>
  <r>
    <s v="MATS4428768-000"/>
    <s v="US , CA"/>
    <x v="0"/>
    <x v="0"/>
    <x v="0"/>
    <x v="61"/>
    <s v="0805.21"/>
    <n v="3600"/>
    <n v="1632.9312"/>
    <n v="6146.4"/>
  </r>
  <r>
    <s v="MATS4428768-000"/>
    <s v="US , CA"/>
    <x v="0"/>
    <x v="0"/>
    <x v="0"/>
    <x v="56"/>
    <s v="0810.70"/>
    <n v="1440"/>
    <n v="653.17247999999995"/>
    <n v="3030"/>
  </r>
  <r>
    <s v="MATS4428768-000"/>
    <s v="US , CA"/>
    <x v="0"/>
    <x v="0"/>
    <x v="0"/>
    <x v="82"/>
    <s v="0810.90"/>
    <n v="1944"/>
    <n v="881.78284799999994"/>
    <n v="4734"/>
  </r>
  <r>
    <s v="MATS9114955-000"/>
    <s v="US , CA"/>
    <x v="0"/>
    <x v="0"/>
    <x v="0"/>
    <x v="0"/>
    <s v="0709.20"/>
    <n v="165"/>
    <n v="74.842680000000001"/>
    <n v="648.75"/>
  </r>
  <r>
    <s v="MATS9114955-000"/>
    <s v="US , CA"/>
    <x v="0"/>
    <x v="0"/>
    <x v="0"/>
    <x v="27"/>
    <s v="0804.40"/>
    <n v="135"/>
    <n v="61.234920000000002"/>
    <n v="223.75"/>
  </r>
  <r>
    <s v="MATS9114955-000"/>
    <s v="US , CA"/>
    <x v="0"/>
    <x v="0"/>
    <x v="0"/>
    <x v="2"/>
    <s v="0704.90"/>
    <n v="1008"/>
    <n v="457.22073599999999"/>
    <n v="1960"/>
  </r>
  <r>
    <s v="MATS9114955-000"/>
    <s v="US , CA"/>
    <x v="0"/>
    <x v="0"/>
    <x v="0"/>
    <x v="35"/>
    <s v="0704.90"/>
    <n v="5590"/>
    <n v="2535.5792799999999"/>
    <n v="1776.5"/>
  </r>
  <r>
    <s v="MATS9114955-000"/>
    <s v="US , CA"/>
    <x v="0"/>
    <x v="0"/>
    <x v="0"/>
    <x v="12"/>
    <s v="0706.10"/>
    <n v="1150"/>
    <n v="521.63080000000002"/>
    <n v="1245"/>
  </r>
  <r>
    <s v="MATS9114955-000"/>
    <s v="US , CA"/>
    <x v="0"/>
    <x v="0"/>
    <x v="0"/>
    <x v="33"/>
    <s v="0704.10"/>
    <n v="345"/>
    <n v="156.48924"/>
    <n v="435"/>
  </r>
  <r>
    <s v="MATS9114955-000"/>
    <s v="US , CA"/>
    <x v="0"/>
    <x v="0"/>
    <x v="0"/>
    <x v="21"/>
    <s v="0709.40"/>
    <n v="520"/>
    <n v="235.86784"/>
    <n v="267.5"/>
  </r>
  <r>
    <s v="MATS9114955-000"/>
    <s v="US , CA"/>
    <x v="0"/>
    <x v="0"/>
    <x v="0"/>
    <x v="43"/>
    <s v="0703.20"/>
    <n v="60"/>
    <n v="27.215519999999998"/>
    <n v="300"/>
  </r>
  <r>
    <s v="MATS9114955-000"/>
    <s v="US , CA"/>
    <x v="0"/>
    <x v="0"/>
    <x v="0"/>
    <x v="77"/>
    <s v="0910.11"/>
    <n v="600"/>
    <n v="272.15519999999998"/>
    <n v="995"/>
  </r>
  <r>
    <s v="MATS9114955-000"/>
    <s v="US , CA"/>
    <x v="0"/>
    <x v="0"/>
    <x v="0"/>
    <x v="29"/>
    <s v="0806.10"/>
    <n v="234"/>
    <n v="106.140528"/>
    <n v="540.5"/>
  </r>
  <r>
    <s v="MATS9114955-000"/>
    <s v="US , CA"/>
    <x v="0"/>
    <x v="0"/>
    <x v="0"/>
    <x v="65"/>
    <s v="0810.50"/>
    <n v="180"/>
    <n v="81.646559999999994"/>
    <n v="562.5"/>
  </r>
  <r>
    <s v="MATS9114955-000"/>
    <s v="US , CA"/>
    <x v="0"/>
    <x v="0"/>
    <x v="0"/>
    <x v="64"/>
    <s v="0805.50"/>
    <n v="1080"/>
    <n v="489.87936000000002"/>
    <n v="918"/>
  </r>
  <r>
    <s v="MATS9114955-000"/>
    <s v="US , CA"/>
    <x v="0"/>
    <x v="0"/>
    <x v="0"/>
    <x v="23"/>
    <s v="0705.11"/>
    <n v="3958"/>
    <n v="1795.3171359999999"/>
    <n v="5055.25"/>
  </r>
  <r>
    <s v="MATS9114955-000"/>
    <s v="US , CA"/>
    <x v="0"/>
    <x v="0"/>
    <x v="0"/>
    <x v="69"/>
    <s v="0805.50"/>
    <n v="108"/>
    <n v="48.987935999999998"/>
    <n v="138"/>
  </r>
  <r>
    <s v="MATS9114955-000"/>
    <s v="US , CA"/>
    <x v="0"/>
    <x v="0"/>
    <x v="0"/>
    <x v="16"/>
    <s v="0804.50"/>
    <n v="160"/>
    <n v="72.574719999999999"/>
    <n v="440"/>
  </r>
  <r>
    <s v="MATS9114955-000"/>
    <s v="US , CA"/>
    <x v="0"/>
    <x v="0"/>
    <x v="0"/>
    <x v="73"/>
    <s v="0807.19"/>
    <n v="1710"/>
    <n v="775.64232000000004"/>
    <n v="1080"/>
  </r>
  <r>
    <s v="MATS9114955-000"/>
    <s v="US , CA"/>
    <x v="0"/>
    <x v="0"/>
    <x v="0"/>
    <x v="74"/>
    <s v="0807.19"/>
    <n v="3550"/>
    <n v="1610.2516000000001"/>
    <n v="2272"/>
  </r>
  <r>
    <s v="MATS9114955-000"/>
    <s v="US , CA"/>
    <x v="0"/>
    <x v="0"/>
    <x v="0"/>
    <x v="76"/>
    <s v="0807.11"/>
    <n v="300"/>
    <n v="136.07759999999999"/>
    <n v="192.5"/>
  </r>
  <r>
    <s v="MATS9114955-000"/>
    <s v="US , CA"/>
    <x v="0"/>
    <x v="0"/>
    <x v="0"/>
    <x v="10"/>
    <s v="0709.51"/>
    <n v="350"/>
    <n v="158.75720000000001"/>
    <n v="1050"/>
  </r>
  <r>
    <s v="MATS9114955-000"/>
    <s v="US , CA"/>
    <x v="0"/>
    <x v="0"/>
    <x v="0"/>
    <x v="22"/>
    <s v="0703.90"/>
    <n v="1300"/>
    <n v="589.66959999999995"/>
    <n v="1056.25"/>
  </r>
  <r>
    <s v="MATS9114955-000"/>
    <s v="US , CA"/>
    <x v="0"/>
    <x v="0"/>
    <x v="0"/>
    <x v="32"/>
    <s v="0703.10"/>
    <n v="75"/>
    <n v="34.019399999999997"/>
    <n v="115.5"/>
  </r>
  <r>
    <s v="MATS9114955-000"/>
    <s v="US , CA"/>
    <x v="0"/>
    <x v="0"/>
    <x v="0"/>
    <x v="32"/>
    <s v="0703.10"/>
    <n v="75"/>
    <n v="34.019399999999997"/>
    <n v="115.5"/>
  </r>
  <r>
    <s v="MATS9114955-000"/>
    <s v="US , CA"/>
    <x v="0"/>
    <x v="0"/>
    <x v="0"/>
    <x v="14"/>
    <s v="0805.10"/>
    <n v="1280"/>
    <n v="580.59775999999999"/>
    <n v="1198.25"/>
  </r>
  <r>
    <s v="MATS9114955-000"/>
    <s v="US , CA"/>
    <x v="0"/>
    <x v="0"/>
    <x v="0"/>
    <x v="47"/>
    <s v="0709.99"/>
    <n v="36"/>
    <n v="16.329312000000002"/>
    <n v="63"/>
  </r>
  <r>
    <s v="MATS9114955-000"/>
    <s v="US , CA"/>
    <x v="0"/>
    <x v="0"/>
    <x v="0"/>
    <x v="80"/>
    <s v="0708.10"/>
    <n v="50"/>
    <n v="22.679600000000001"/>
    <n v="165"/>
  </r>
  <r>
    <s v="MATS9114955-000"/>
    <s v="US , CA"/>
    <x v="0"/>
    <x v="0"/>
    <x v="0"/>
    <x v="34"/>
    <s v="0709.60"/>
    <n v="1675"/>
    <n v="759.76660000000004"/>
    <n v="3854.5"/>
  </r>
  <r>
    <s v="MATS9114955-000"/>
    <s v="US , CA"/>
    <x v="0"/>
    <x v="0"/>
    <x v="0"/>
    <x v="75"/>
    <s v="0804.30"/>
    <n v="875"/>
    <n v="396.89299999999997"/>
    <n v="700"/>
  </r>
  <r>
    <s v="MATS9114955-000"/>
    <s v="US , CA"/>
    <x v="0"/>
    <x v="0"/>
    <x v="0"/>
    <x v="66"/>
    <s v="0701.00"/>
    <n v="3000"/>
    <n v="1360.7760000000001"/>
    <n v="1050"/>
  </r>
  <r>
    <s v="MATS9114955-000"/>
    <s v="US , CA"/>
    <x v="0"/>
    <x v="0"/>
    <x v="0"/>
    <x v="20"/>
    <s v="0706.90"/>
    <n v="311"/>
    <n v="141.06711200000001"/>
    <n v="345"/>
  </r>
  <r>
    <s v="MATS9114955-000"/>
    <s v="US , CA"/>
    <x v="0"/>
    <x v="0"/>
    <x v="0"/>
    <x v="17"/>
    <s v="0709.70"/>
    <n v="345"/>
    <n v="156.48924"/>
    <n v="899.5"/>
  </r>
  <r>
    <s v="MATS9114955-000"/>
    <s v="US , CA"/>
    <x v="0"/>
    <x v="0"/>
    <x v="0"/>
    <x v="25"/>
    <s v="0709.93"/>
    <n v="600"/>
    <n v="272.15519999999998"/>
    <n v="600"/>
  </r>
  <r>
    <s v="MATS9114955-000"/>
    <s v="US , CA"/>
    <x v="0"/>
    <x v="0"/>
    <x v="0"/>
    <x v="25"/>
    <s v="0709.93"/>
    <n v="192"/>
    <n v="87.089663999999999"/>
    <n v="124"/>
  </r>
  <r>
    <s v="MATS9114955-000"/>
    <s v="US , CA"/>
    <x v="0"/>
    <x v="0"/>
    <x v="0"/>
    <x v="11"/>
    <s v="0702.00"/>
    <n v="2525"/>
    <n v="1145.3198"/>
    <n v="4155"/>
  </r>
  <r>
    <s v="MATS2730626-000"/>
    <s v="US , CA"/>
    <x v="0"/>
    <x v="0"/>
    <x v="0"/>
    <x v="0"/>
    <s v="0709.20"/>
    <n v="220"/>
    <n v="99.790239999999997"/>
    <n v="1090"/>
  </r>
  <r>
    <s v="MATS2730626-000"/>
    <s v="US , CA"/>
    <x v="0"/>
    <x v="0"/>
    <x v="0"/>
    <x v="27"/>
    <s v="0804.40"/>
    <n v="54"/>
    <n v="24.493967999999999"/>
    <n v="138"/>
  </r>
  <r>
    <s v="MATS2730626-000"/>
    <s v="US , CA"/>
    <x v="0"/>
    <x v="0"/>
    <x v="0"/>
    <x v="2"/>
    <s v="0704.90"/>
    <n v="324"/>
    <n v="146.963808"/>
    <n v="504"/>
  </r>
  <r>
    <s v="MATS2730626-000"/>
    <s v="US , CA"/>
    <x v="0"/>
    <x v="0"/>
    <x v="0"/>
    <x v="3"/>
    <s v="0704.20"/>
    <n v="75"/>
    <n v="34.019399999999997"/>
    <n v="108"/>
  </r>
  <r>
    <s v="MATS2730626-000"/>
    <s v="US , CA"/>
    <x v="0"/>
    <x v="0"/>
    <x v="0"/>
    <x v="35"/>
    <s v="0704.90"/>
    <n v="637"/>
    <n v="288.93810400000001"/>
    <n v="489.5"/>
  </r>
  <r>
    <s v="MATS2730626-000"/>
    <s v="US , CA"/>
    <x v="0"/>
    <x v="0"/>
    <x v="0"/>
    <x v="35"/>
    <s v="0704.90"/>
    <n v="100"/>
    <n v="45.359200000000001"/>
    <n v="56"/>
  </r>
  <r>
    <s v="MATS2730626-000"/>
    <s v="US , CA"/>
    <x v="0"/>
    <x v="0"/>
    <x v="0"/>
    <x v="12"/>
    <s v="0706.10"/>
    <n v="50"/>
    <n v="22.679600000000001"/>
    <n v="30"/>
  </r>
  <r>
    <s v="MATS2730626-000"/>
    <s v="US , CA"/>
    <x v="0"/>
    <x v="0"/>
    <x v="0"/>
    <x v="2"/>
    <s v="0704.90"/>
    <n v="18"/>
    <n v="8.1646560000000008"/>
    <n v="39"/>
  </r>
  <r>
    <s v="MATS2730626-000"/>
    <s v="US , CA"/>
    <x v="0"/>
    <x v="0"/>
    <x v="0"/>
    <x v="21"/>
    <s v="0709.40"/>
    <n v="104"/>
    <n v="47.173568000000003"/>
    <n v="49"/>
  </r>
  <r>
    <s v="MATS2730626-000"/>
    <s v="US , CA"/>
    <x v="0"/>
    <x v="0"/>
    <x v="0"/>
    <x v="29"/>
    <s v="0806.10"/>
    <n v="144"/>
    <n v="65.317248000000006"/>
    <n v="328"/>
  </r>
  <r>
    <s v="MATS2730626-000"/>
    <s v="US , CA"/>
    <x v="0"/>
    <x v="0"/>
    <x v="0"/>
    <x v="29"/>
    <s v="0806.10"/>
    <n v="252"/>
    <n v="114.305184"/>
    <n v="574"/>
  </r>
  <r>
    <s v="MATS2730626-000"/>
    <s v="US , CA"/>
    <x v="0"/>
    <x v="0"/>
    <x v="0"/>
    <x v="39"/>
    <s v="0704.90"/>
    <n v="384"/>
    <n v="174.179328"/>
    <n v="560"/>
  </r>
  <r>
    <s v="MATS2730626-000"/>
    <s v="US , CA"/>
    <x v="0"/>
    <x v="0"/>
    <x v="0"/>
    <x v="65"/>
    <s v="0810.50"/>
    <n v="66"/>
    <n v="29.937072000000001"/>
    <n v="198"/>
  </r>
  <r>
    <s v="MATS2730626-000"/>
    <s v="US , CA"/>
    <x v="0"/>
    <x v="0"/>
    <x v="0"/>
    <x v="64"/>
    <s v="0805.50"/>
    <n v="400"/>
    <n v="181.43680000000001"/>
    <n v="415"/>
  </r>
  <r>
    <s v="MATS2730626-000"/>
    <s v="US , CA"/>
    <x v="0"/>
    <x v="0"/>
    <x v="0"/>
    <x v="23"/>
    <s v="0705.11"/>
    <n v="5507"/>
    <n v="2497.9311440000001"/>
    <n v="5242"/>
  </r>
  <r>
    <s v="MATS2730626-000"/>
    <s v="US , CA"/>
    <x v="0"/>
    <x v="0"/>
    <x v="0"/>
    <x v="69"/>
    <s v="0805.50"/>
    <n v="144"/>
    <n v="65.317248000000006"/>
    <n v="266"/>
  </r>
  <r>
    <s v="MATS2730626-000"/>
    <s v="US , CA"/>
    <x v="0"/>
    <x v="0"/>
    <x v="0"/>
    <x v="16"/>
    <s v="0804.50"/>
    <n v="56"/>
    <n v="25.401152"/>
    <n v="175"/>
  </r>
  <r>
    <s v="MATS2730626-000"/>
    <s v="US , CA"/>
    <x v="0"/>
    <x v="0"/>
    <x v="0"/>
    <x v="73"/>
    <s v="0807.19"/>
    <n v="646"/>
    <n v="293.02043199999997"/>
    <n v="399.5"/>
  </r>
  <r>
    <s v="MATS2730626-000"/>
    <s v="US , CA"/>
    <x v="0"/>
    <x v="0"/>
    <x v="0"/>
    <x v="74"/>
    <s v="0807.19"/>
    <n v="325"/>
    <n v="147.41739999999999"/>
    <n v="292.5"/>
  </r>
  <r>
    <s v="MATS2730626-000"/>
    <s v="US , CA"/>
    <x v="0"/>
    <x v="0"/>
    <x v="0"/>
    <x v="76"/>
    <s v="0807.11"/>
    <n v="300"/>
    <n v="136.07759999999999"/>
    <n v="212.5"/>
  </r>
  <r>
    <s v="MATS2730626-000"/>
    <s v="US , CA"/>
    <x v="0"/>
    <x v="0"/>
    <x v="0"/>
    <x v="10"/>
    <s v="0709.51"/>
    <n v="483"/>
    <n v="219.084936"/>
    <n v="1449"/>
  </r>
  <r>
    <s v="MATS2730626-000"/>
    <s v="US , CA"/>
    <x v="0"/>
    <x v="0"/>
    <x v="0"/>
    <x v="22"/>
    <s v="0703.90"/>
    <n v="260"/>
    <n v="117.93392"/>
    <n v="520"/>
  </r>
  <r>
    <s v="MATS2730626-000"/>
    <s v="US , CA"/>
    <x v="0"/>
    <x v="0"/>
    <x v="0"/>
    <x v="22"/>
    <s v="0703.90"/>
    <n v="23"/>
    <n v="10.432615999999999"/>
    <n v="26"/>
  </r>
  <r>
    <s v="MATS2730626-000"/>
    <s v="US , CA"/>
    <x v="0"/>
    <x v="0"/>
    <x v="0"/>
    <x v="32"/>
    <s v="0703.10"/>
    <n v="75"/>
    <n v="34.019399999999997"/>
    <n v="115.5"/>
  </r>
  <r>
    <s v="MATS2730626-000"/>
    <s v="US , CA"/>
    <x v="0"/>
    <x v="0"/>
    <x v="0"/>
    <x v="32"/>
    <s v="0703.10"/>
    <n v="75"/>
    <n v="34.019399999999997"/>
    <n v="115.5"/>
  </r>
  <r>
    <s v="MATS2730626-000"/>
    <s v="US , CA"/>
    <x v="0"/>
    <x v="0"/>
    <x v="0"/>
    <x v="32"/>
    <s v="0703.10"/>
    <n v="75"/>
    <n v="34.019399999999997"/>
    <n v="115.5"/>
  </r>
  <r>
    <s v="MATS2730626-000"/>
    <s v="US , CA"/>
    <x v="0"/>
    <x v="0"/>
    <x v="0"/>
    <x v="14"/>
    <s v="0805.10"/>
    <n v="80"/>
    <n v="36.28736"/>
    <n v="108"/>
  </r>
  <r>
    <s v="MATS2730626-000"/>
    <s v="US , CA"/>
    <x v="0"/>
    <x v="0"/>
    <x v="0"/>
    <x v="47"/>
    <s v="0709.99"/>
    <n v="24"/>
    <n v="10.886208"/>
    <n v="45"/>
  </r>
  <r>
    <s v="MATS2730626-000"/>
    <s v="US , CA"/>
    <x v="0"/>
    <x v="0"/>
    <x v="0"/>
    <x v="34"/>
    <s v="0709.60"/>
    <n v="275"/>
    <n v="124.73779999999999"/>
    <n v="368.5"/>
  </r>
  <r>
    <s v="MATS2730626-000"/>
    <s v="US , CA"/>
    <x v="0"/>
    <x v="0"/>
    <x v="0"/>
    <x v="66"/>
    <s v="0701.00"/>
    <n v="900"/>
    <n v="408.2328"/>
    <n v="348"/>
  </r>
  <r>
    <s v="MATS2730626-000"/>
    <s v="US , CA"/>
    <x v="0"/>
    <x v="0"/>
    <x v="0"/>
    <x v="20"/>
    <s v="0706.90"/>
    <n v="100"/>
    <n v="45.359200000000001"/>
    <n v="178"/>
  </r>
  <r>
    <s v="MATS2730626-000"/>
    <s v="US , CA"/>
    <x v="0"/>
    <x v="0"/>
    <x v="0"/>
    <x v="25"/>
    <s v="0709.93"/>
    <n v="72"/>
    <n v="32.658624000000003"/>
    <n v="54"/>
  </r>
  <r>
    <s v="MATS2730626-000"/>
    <s v="US , CA"/>
    <x v="0"/>
    <x v="0"/>
    <x v="0"/>
    <x v="11"/>
    <s v="0702.00"/>
    <n v="1255"/>
    <n v="569.25796000000003"/>
    <n v="1398.5"/>
  </r>
  <r>
    <s v="MATS1137483-000"/>
    <s v="US , CA"/>
    <x v="0"/>
    <x v="0"/>
    <x v="0"/>
    <x v="87"/>
    <s v="0709.99"/>
    <n v="60"/>
    <n v="27.215519999999998"/>
    <n v="70.599999999999994"/>
  </r>
  <r>
    <s v="MATS1137483-000"/>
    <s v="US , CA"/>
    <x v="0"/>
    <x v="0"/>
    <x v="0"/>
    <x v="43"/>
    <s v="0703.20"/>
    <n v="750"/>
    <n v="340.19400000000002"/>
    <n v="2896.25"/>
  </r>
  <r>
    <s v="MATS1137483-000"/>
    <s v="US , CA"/>
    <x v="0"/>
    <x v="0"/>
    <x v="0"/>
    <x v="29"/>
    <s v="0806.10"/>
    <n v="5706"/>
    <n v="2588.195952"/>
    <n v="5467.5"/>
  </r>
  <r>
    <s v="MATS1137483-000"/>
    <s v="US , CA"/>
    <x v="0"/>
    <x v="0"/>
    <x v="0"/>
    <x v="29"/>
    <s v="0806.10"/>
    <n v="4212"/>
    <n v="1910.5295040000001"/>
    <n v="11300.220000000001"/>
  </r>
  <r>
    <s v="MATS1137483-000"/>
    <s v="US , CA"/>
    <x v="0"/>
    <x v="0"/>
    <x v="0"/>
    <x v="67"/>
    <s v="0805.40"/>
    <n v="900"/>
    <n v="408.2328"/>
    <n v="900"/>
  </r>
  <r>
    <s v="MATS1137483-000"/>
    <s v="US , CA"/>
    <x v="0"/>
    <x v="0"/>
    <x v="0"/>
    <x v="65"/>
    <s v="0810.50"/>
    <n v="660"/>
    <n v="299.37072000000001"/>
    <n v="1650"/>
  </r>
  <r>
    <s v="MATS1137483-000"/>
    <s v="US , CA"/>
    <x v="0"/>
    <x v="0"/>
    <x v="0"/>
    <x v="23"/>
    <s v="0705.11"/>
    <n v="4318"/>
    <n v="1958.6102559999999"/>
    <n v="5440.84"/>
  </r>
  <r>
    <s v="MATS1137483-000"/>
    <s v="US , CA"/>
    <x v="0"/>
    <x v="0"/>
    <x v="0"/>
    <x v="61"/>
    <s v="0805.21"/>
    <n v="5400"/>
    <n v="2449.3968"/>
    <n v="9073.7999999999993"/>
  </r>
  <r>
    <s v="MATS1137483-000"/>
    <s v="US , CA"/>
    <x v="0"/>
    <x v="0"/>
    <x v="0"/>
    <x v="14"/>
    <s v="0805.10"/>
    <n v="4200"/>
    <n v="1905.0863999999999"/>
    <n v="4144.71"/>
  </r>
  <r>
    <s v="MATS1137483-000"/>
    <s v="US , CA"/>
    <x v="0"/>
    <x v="0"/>
    <x v="0"/>
    <x v="72"/>
    <s v="0808.30"/>
    <n v="600"/>
    <n v="272.15519999999998"/>
    <n v="968.75"/>
  </r>
  <r>
    <s v="MATS1137483-000"/>
    <s v="US , CA"/>
    <x v="0"/>
    <x v="0"/>
    <x v="0"/>
    <x v="82"/>
    <s v="0810.90"/>
    <n v="648"/>
    <n v="293.927616"/>
    <n v="1141.44"/>
  </r>
  <r>
    <s v="MATS1137483-000"/>
    <s v="US , CA"/>
    <x v="0"/>
    <x v="0"/>
    <x v="0"/>
    <x v="25"/>
    <s v="0709.93"/>
    <n v="810"/>
    <n v="367.40951999999999"/>
    <n v="592.65"/>
  </r>
  <r>
    <s v="MATS1137483-000"/>
    <s v="US , CA"/>
    <x v="0"/>
    <x v="0"/>
    <x v="0"/>
    <x v="60"/>
    <s v="0714.20"/>
    <n v="1720"/>
    <n v="780.17823999999996"/>
    <n v="1311.0700000000002"/>
  </r>
  <r>
    <s v="MATS5879381-000"/>
    <s v="US , CA"/>
    <x v="0"/>
    <x v="0"/>
    <x v="0"/>
    <x v="57"/>
    <s v="0808.10"/>
    <n v="200"/>
    <n v="90.718400000000003"/>
    <n v="140"/>
  </r>
  <r>
    <s v="MATS5879381-000"/>
    <s v="US , CA"/>
    <x v="0"/>
    <x v="0"/>
    <x v="0"/>
    <x v="0"/>
    <s v="0709.20"/>
    <n v="220"/>
    <n v="99.790239999999997"/>
    <n v="690"/>
  </r>
  <r>
    <s v="MATS5879381-000"/>
    <s v="US , CA"/>
    <x v="0"/>
    <x v="0"/>
    <x v="0"/>
    <x v="27"/>
    <s v="0804.40"/>
    <n v="135"/>
    <n v="61.234920000000002"/>
    <n v="260"/>
  </r>
  <r>
    <s v="MATS5879381-000"/>
    <s v="US , CA"/>
    <x v="0"/>
    <x v="0"/>
    <x v="0"/>
    <x v="2"/>
    <s v="0704.90"/>
    <n v="1008"/>
    <n v="457.22073599999999"/>
    <n v="2030"/>
  </r>
  <r>
    <s v="MATS5879381-000"/>
    <s v="US , CA"/>
    <x v="0"/>
    <x v="0"/>
    <x v="0"/>
    <x v="35"/>
    <s v="0704.90"/>
    <n v="6029"/>
    <n v="2734.7061680000002"/>
    <n v="3787.5"/>
  </r>
  <r>
    <s v="MATS5879381-000"/>
    <s v="US , CA"/>
    <x v="0"/>
    <x v="0"/>
    <x v="0"/>
    <x v="35"/>
    <s v="0704.90"/>
    <n v="250"/>
    <n v="113.398"/>
    <n v="142.5"/>
  </r>
  <r>
    <s v="MATS5879381-000"/>
    <s v="US , CA"/>
    <x v="0"/>
    <x v="0"/>
    <x v="0"/>
    <x v="12"/>
    <s v="0706.10"/>
    <n v="750"/>
    <n v="340.19400000000002"/>
    <n v="495"/>
  </r>
  <r>
    <s v="MATS5879381-000"/>
    <s v="US , CA"/>
    <x v="0"/>
    <x v="0"/>
    <x v="0"/>
    <x v="2"/>
    <s v="0704.90"/>
    <n v="345"/>
    <n v="156.48924"/>
    <n v="502.5"/>
  </r>
  <r>
    <s v="MATS5879381-000"/>
    <s v="US , CA"/>
    <x v="0"/>
    <x v="0"/>
    <x v="0"/>
    <x v="21"/>
    <s v="0709.40"/>
    <n v="780"/>
    <n v="353.80176"/>
    <n v="352.5"/>
  </r>
  <r>
    <s v="MATS5879381-000"/>
    <s v="US , CA"/>
    <x v="0"/>
    <x v="0"/>
    <x v="0"/>
    <x v="43"/>
    <s v="0703.20"/>
    <n v="40"/>
    <n v="18.14368"/>
    <n v="200"/>
  </r>
  <r>
    <s v="MATS5879381-000"/>
    <s v="US , CA"/>
    <x v="0"/>
    <x v="0"/>
    <x v="0"/>
    <x v="77"/>
    <s v="0910.11"/>
    <n v="450"/>
    <n v="204.1164"/>
    <n v="746.25"/>
  </r>
  <r>
    <s v="MATS5879381-000"/>
    <s v="US , CA"/>
    <x v="0"/>
    <x v="0"/>
    <x v="0"/>
    <x v="29"/>
    <s v="0806.10"/>
    <n v="324"/>
    <n v="146.963808"/>
    <n v="745.5"/>
  </r>
  <r>
    <s v="MATS5879381-000"/>
    <s v="US , CA"/>
    <x v="0"/>
    <x v="0"/>
    <x v="0"/>
    <x v="65"/>
    <s v="0810.50"/>
    <n v="180"/>
    <n v="81.646559999999994"/>
    <n v="562.5"/>
  </r>
  <r>
    <s v="MATS5879381-000"/>
    <s v="US , CA"/>
    <x v="0"/>
    <x v="0"/>
    <x v="0"/>
    <x v="64"/>
    <s v="0805.50"/>
    <n v="1080"/>
    <n v="489.87936000000002"/>
    <n v="985.5"/>
  </r>
  <r>
    <s v="MATS5879381-000"/>
    <s v="US , CA"/>
    <x v="0"/>
    <x v="0"/>
    <x v="0"/>
    <x v="23"/>
    <s v="0705.11"/>
    <n v="4017"/>
    <n v="1822.079064"/>
    <n v="3670"/>
  </r>
  <r>
    <s v="MATS5879381-000"/>
    <s v="US , CA"/>
    <x v="0"/>
    <x v="0"/>
    <x v="0"/>
    <x v="16"/>
    <s v="0804.50"/>
    <n v="160"/>
    <n v="72.574719999999999"/>
    <n v="440"/>
  </r>
  <r>
    <s v="MATS5879381-000"/>
    <s v="US , CA"/>
    <x v="0"/>
    <x v="0"/>
    <x v="0"/>
    <x v="73"/>
    <s v="0807.19"/>
    <n v="1520"/>
    <n v="689.45983999999999"/>
    <n v="800"/>
  </r>
  <r>
    <s v="MATS5879381-000"/>
    <s v="US , CA"/>
    <x v="0"/>
    <x v="0"/>
    <x v="0"/>
    <x v="74"/>
    <s v="0807.19"/>
    <n v="4000"/>
    <n v="1814.3679999999999"/>
    <n v="2560"/>
  </r>
  <r>
    <s v="MATS5879381-000"/>
    <s v="US , CA"/>
    <x v="0"/>
    <x v="0"/>
    <x v="0"/>
    <x v="76"/>
    <s v="0807.11"/>
    <n v="300"/>
    <n v="136.07759999999999"/>
    <n v="192.5"/>
  </r>
  <r>
    <s v="MATS5879381-000"/>
    <s v="US , CA"/>
    <x v="0"/>
    <x v="0"/>
    <x v="0"/>
    <x v="10"/>
    <s v="0709.51"/>
    <n v="350"/>
    <n v="158.75720000000001"/>
    <n v="1050"/>
  </r>
  <r>
    <s v="MATS5879381-000"/>
    <s v="US , CA"/>
    <x v="0"/>
    <x v="0"/>
    <x v="0"/>
    <x v="22"/>
    <s v="0703.90"/>
    <n v="1420"/>
    <n v="644.10064"/>
    <n v="1420"/>
  </r>
  <r>
    <s v="MATS5879381-000"/>
    <s v="US , CA"/>
    <x v="0"/>
    <x v="0"/>
    <x v="0"/>
    <x v="32"/>
    <s v="0703.10"/>
    <n v="75"/>
    <n v="34.019399999999997"/>
    <n v="115.5"/>
  </r>
  <r>
    <s v="MATS5879381-000"/>
    <s v="US , CA"/>
    <x v="0"/>
    <x v="0"/>
    <x v="0"/>
    <x v="32"/>
    <s v="0703.10"/>
    <n v="75"/>
    <n v="34.019399999999997"/>
    <n v="115.5"/>
  </r>
  <r>
    <s v="MATS5879381-000"/>
    <s v="US , CA"/>
    <x v="0"/>
    <x v="0"/>
    <x v="0"/>
    <x v="14"/>
    <s v="0805.10"/>
    <n v="1080"/>
    <n v="489.87936000000002"/>
    <n v="972"/>
  </r>
  <r>
    <s v="MATS5879381-000"/>
    <s v="US , CA"/>
    <x v="0"/>
    <x v="0"/>
    <x v="0"/>
    <x v="47"/>
    <s v="0709.99"/>
    <n v="36"/>
    <n v="16.329312000000002"/>
    <n v="63"/>
  </r>
  <r>
    <s v="MATS5879381-000"/>
    <s v="US , CA"/>
    <x v="0"/>
    <x v="0"/>
    <x v="0"/>
    <x v="80"/>
    <s v="0708.10"/>
    <n v="50"/>
    <n v="22.679600000000001"/>
    <n v="165"/>
  </r>
  <r>
    <s v="MATS5879381-000"/>
    <s v="US , CA"/>
    <x v="0"/>
    <x v="0"/>
    <x v="0"/>
    <x v="24"/>
    <s v="0709.60"/>
    <n v="1925"/>
    <n v="873.16459999999995"/>
    <n v="2704"/>
  </r>
  <r>
    <s v="MATS5879381-000"/>
    <s v="US , CA"/>
    <x v="0"/>
    <x v="0"/>
    <x v="0"/>
    <x v="24"/>
    <s v="0709.60"/>
    <n v="30"/>
    <n v="13.607759999999999"/>
    <n v="54"/>
  </r>
  <r>
    <s v="MATS5879381-000"/>
    <s v="US , CA"/>
    <x v="0"/>
    <x v="0"/>
    <x v="0"/>
    <x v="75"/>
    <s v="0804.30"/>
    <n v="750"/>
    <n v="340.19400000000002"/>
    <n v="600"/>
  </r>
  <r>
    <s v="MATS5879381-000"/>
    <s v="US , CA"/>
    <x v="0"/>
    <x v="0"/>
    <x v="0"/>
    <x v="66"/>
    <s v="0701.00"/>
    <n v="625"/>
    <n v="283.495"/>
    <n v="1000"/>
  </r>
  <r>
    <s v="MATS5879381-000"/>
    <s v="US , CA"/>
    <x v="0"/>
    <x v="0"/>
    <x v="0"/>
    <x v="66"/>
    <s v="0701.00"/>
    <n v="3100"/>
    <n v="1406.1351999999999"/>
    <n v="930"/>
  </r>
  <r>
    <s v="MATS5879381-000"/>
    <s v="US , CA"/>
    <x v="0"/>
    <x v="0"/>
    <x v="0"/>
    <x v="17"/>
    <s v="0709.70"/>
    <n v="345"/>
    <n v="156.48924"/>
    <n v="809.5"/>
  </r>
  <r>
    <s v="MATS5879381-000"/>
    <s v="US , CA"/>
    <x v="0"/>
    <x v="0"/>
    <x v="0"/>
    <x v="25"/>
    <s v="0709.93"/>
    <n v="720"/>
    <n v="326.58623999999998"/>
    <n v="575"/>
  </r>
  <r>
    <s v="MATS5879381-000"/>
    <s v="US , CA"/>
    <x v="0"/>
    <x v="0"/>
    <x v="0"/>
    <x v="25"/>
    <s v="0709.93"/>
    <n v="168"/>
    <n v="76.203456000000003"/>
    <n v="108.5"/>
  </r>
  <r>
    <s v="MATS5879381-000"/>
    <s v="US , CA"/>
    <x v="0"/>
    <x v="0"/>
    <x v="0"/>
    <x v="60"/>
    <s v="0714.20"/>
    <n v="130"/>
    <n v="58.96696"/>
    <n v="237.5"/>
  </r>
  <r>
    <s v="MATS5879381-000"/>
    <s v="US , CA"/>
    <x v="0"/>
    <x v="0"/>
    <x v="0"/>
    <x v="11"/>
    <s v="0702.00"/>
    <n v="2500"/>
    <n v="1133.98"/>
    <n v="3411.25"/>
  </r>
  <r>
    <s v="MATS2779859-000"/>
    <s v="US , CA"/>
    <x v="0"/>
    <x v="0"/>
    <x v="0"/>
    <x v="0"/>
    <s v="0709.20"/>
    <n v="220"/>
    <n v="99.790239999999997"/>
    <n v="1090"/>
  </r>
  <r>
    <s v="MATS2779859-000"/>
    <s v="US , CA"/>
    <x v="0"/>
    <x v="0"/>
    <x v="0"/>
    <x v="27"/>
    <s v="0804.40"/>
    <n v="135"/>
    <n v="61.234920000000002"/>
    <n v="348"/>
  </r>
  <r>
    <s v="MATS2779859-000"/>
    <s v="US , CA"/>
    <x v="0"/>
    <x v="0"/>
    <x v="0"/>
    <x v="58"/>
    <s v="0706.90"/>
    <n v="275"/>
    <n v="124.73779999999999"/>
    <n v="228.26"/>
  </r>
  <r>
    <s v="MATS2779859-000"/>
    <s v="US , CA"/>
    <x v="0"/>
    <x v="0"/>
    <x v="0"/>
    <x v="2"/>
    <s v="0704.90"/>
    <n v="396"/>
    <n v="179.622432"/>
    <n v="616"/>
  </r>
  <r>
    <s v="MATS2779859-000"/>
    <s v="US , CA"/>
    <x v="0"/>
    <x v="0"/>
    <x v="0"/>
    <x v="3"/>
    <s v="0704.20"/>
    <n v="75"/>
    <n v="34.019399999999997"/>
    <n v="108"/>
  </r>
  <r>
    <s v="MATS2779859-000"/>
    <s v="US , CA"/>
    <x v="0"/>
    <x v="0"/>
    <x v="0"/>
    <x v="35"/>
    <s v="0704.90"/>
    <n v="527"/>
    <n v="239.04298399999999"/>
    <n v="454.5"/>
  </r>
  <r>
    <s v="MATS2779859-000"/>
    <s v="US , CA"/>
    <x v="0"/>
    <x v="0"/>
    <x v="0"/>
    <x v="35"/>
    <s v="0704.90"/>
    <n v="200"/>
    <n v="90.718400000000003"/>
    <n v="112"/>
  </r>
  <r>
    <s v="MATS2779859-000"/>
    <s v="US , CA"/>
    <x v="0"/>
    <x v="0"/>
    <x v="0"/>
    <x v="12"/>
    <s v="0706.10"/>
    <n v="18734"/>
    <n v="8497.5925279999992"/>
    <n v="3144.13"/>
  </r>
  <r>
    <s v="MATS2779859-000"/>
    <s v="US , CA"/>
    <x v="0"/>
    <x v="0"/>
    <x v="0"/>
    <x v="2"/>
    <s v="0704.90"/>
    <n v="162"/>
    <n v="73.481904"/>
    <n v="351"/>
  </r>
  <r>
    <s v="MATS2779859-000"/>
    <s v="US , CA"/>
    <x v="0"/>
    <x v="0"/>
    <x v="0"/>
    <x v="21"/>
    <s v="0709.40"/>
    <n v="364"/>
    <n v="165.10748799999999"/>
    <n v="171.5"/>
  </r>
  <r>
    <s v="MATS2779859-000"/>
    <s v="US , CA"/>
    <x v="0"/>
    <x v="0"/>
    <x v="0"/>
    <x v="77"/>
    <s v="0910.11"/>
    <n v="120"/>
    <n v="54.431039999999996"/>
    <n v="210"/>
  </r>
  <r>
    <s v="MATS2779859-000"/>
    <s v="US , CA"/>
    <x v="0"/>
    <x v="0"/>
    <x v="0"/>
    <x v="29"/>
    <s v="0806.10"/>
    <n v="216"/>
    <n v="97.975871999999995"/>
    <n v="492"/>
  </r>
  <r>
    <s v="MATS2779859-000"/>
    <s v="US , CA"/>
    <x v="0"/>
    <x v="0"/>
    <x v="0"/>
    <x v="29"/>
    <s v="0806.10"/>
    <n v="414"/>
    <n v="187.78708800000001"/>
    <n v="950.5"/>
  </r>
  <r>
    <s v="MATS2779859-000"/>
    <s v="US , CA"/>
    <x v="0"/>
    <x v="0"/>
    <x v="0"/>
    <x v="39"/>
    <s v="0704.90"/>
    <n v="360"/>
    <n v="163.29311999999999"/>
    <n v="525"/>
  </r>
  <r>
    <s v="MATS2779859-000"/>
    <s v="US , CA"/>
    <x v="0"/>
    <x v="0"/>
    <x v="0"/>
    <x v="65"/>
    <s v="0810.50"/>
    <n v="360"/>
    <n v="163.29311999999999"/>
    <n v="525"/>
  </r>
  <r>
    <s v="MATS2779859-000"/>
    <s v="US , CA"/>
    <x v="0"/>
    <x v="0"/>
    <x v="0"/>
    <x v="64"/>
    <s v="0805.50"/>
    <n v="440"/>
    <n v="199.58047999999999"/>
    <n v="456.5"/>
  </r>
  <r>
    <s v="MATS2779859-000"/>
    <s v="US , CA"/>
    <x v="0"/>
    <x v="0"/>
    <x v="0"/>
    <x v="23"/>
    <s v="0705.11"/>
    <n v="4895"/>
    <n v="2220.33284"/>
    <n v="4582"/>
  </r>
  <r>
    <s v="MATS2779859-000"/>
    <s v="US , CA"/>
    <x v="0"/>
    <x v="0"/>
    <x v="0"/>
    <x v="23"/>
    <s v="0705.11"/>
    <n v="85"/>
    <n v="38.555320000000002"/>
    <n v="112.5"/>
  </r>
  <r>
    <s v="MATS2779859-000"/>
    <s v="US , CA"/>
    <x v="0"/>
    <x v="0"/>
    <x v="0"/>
    <x v="69"/>
    <s v="0805.50"/>
    <n v="216"/>
    <n v="97.975871999999995"/>
    <n v="399"/>
  </r>
  <r>
    <s v="MATS2779859-000"/>
    <s v="US , CA"/>
    <x v="0"/>
    <x v="0"/>
    <x v="0"/>
    <x v="16"/>
    <s v="0804.50"/>
    <n v="136"/>
    <n v="61.688512000000003"/>
    <n v="425"/>
  </r>
  <r>
    <s v="MATS2779859-000"/>
    <s v="US , CA"/>
    <x v="0"/>
    <x v="0"/>
    <x v="0"/>
    <x v="73"/>
    <s v="0807.19"/>
    <n v="760"/>
    <n v="344.72991999999999"/>
    <n v="490"/>
  </r>
  <r>
    <s v="MATS2779859-000"/>
    <s v="US , CA"/>
    <x v="0"/>
    <x v="0"/>
    <x v="0"/>
    <x v="74"/>
    <s v="0807.19"/>
    <n v="400"/>
    <n v="181.43680000000001"/>
    <n v="360"/>
  </r>
  <r>
    <s v="MATS2779859-000"/>
    <s v="US , CA"/>
    <x v="0"/>
    <x v="0"/>
    <x v="0"/>
    <x v="76"/>
    <s v="0807.11"/>
    <n v="300"/>
    <n v="136.07759999999999"/>
    <n v="212.5"/>
  </r>
  <r>
    <s v="MATS2779859-000"/>
    <s v="US , CA"/>
    <x v="0"/>
    <x v="0"/>
    <x v="0"/>
    <x v="10"/>
    <s v="0709.51"/>
    <n v="483"/>
    <n v="219.084936"/>
    <n v="1449"/>
  </r>
  <r>
    <s v="MATS2779859-000"/>
    <s v="US , CA"/>
    <x v="0"/>
    <x v="0"/>
    <x v="0"/>
    <x v="22"/>
    <s v="0703.90"/>
    <n v="683"/>
    <n v="309.803336"/>
    <n v="1346"/>
  </r>
  <r>
    <s v="MATS2779859-000"/>
    <s v="US , CA"/>
    <x v="0"/>
    <x v="0"/>
    <x v="0"/>
    <x v="32"/>
    <s v="0703.10"/>
    <n v="75"/>
    <n v="34.019399999999997"/>
    <n v="115.5"/>
  </r>
  <r>
    <s v="MATS2779859-000"/>
    <s v="US , CA"/>
    <x v="0"/>
    <x v="0"/>
    <x v="0"/>
    <x v="14"/>
    <s v="0805.10"/>
    <n v="80"/>
    <n v="36.28736"/>
    <n v="108"/>
  </r>
  <r>
    <s v="MATS2779859-000"/>
    <s v="US , CA"/>
    <x v="0"/>
    <x v="0"/>
    <x v="0"/>
    <x v="47"/>
    <s v="0709.99"/>
    <n v="24"/>
    <n v="10.886208"/>
    <n v="45"/>
  </r>
  <r>
    <s v="MATS2779859-000"/>
    <s v="US , CA"/>
    <x v="0"/>
    <x v="0"/>
    <x v="0"/>
    <x v="72"/>
    <s v="0808.30"/>
    <n v="80"/>
    <n v="36.28736"/>
    <n v="75"/>
  </r>
  <r>
    <s v="MATS2779859-000"/>
    <s v="US , CA"/>
    <x v="0"/>
    <x v="0"/>
    <x v="0"/>
    <x v="24"/>
    <s v="0709.60"/>
    <n v="700"/>
    <n v="317.51440000000002"/>
    <n v="802"/>
  </r>
  <r>
    <s v="MATS2779859-000"/>
    <s v="US , CA"/>
    <x v="0"/>
    <x v="0"/>
    <x v="0"/>
    <x v="75"/>
    <s v="0804.30"/>
    <n v="25"/>
    <n v="11.3398"/>
    <n v="24"/>
  </r>
  <r>
    <s v="MATS2779859-000"/>
    <s v="US , CA"/>
    <x v="0"/>
    <x v="0"/>
    <x v="0"/>
    <x v="66"/>
    <s v="0701.00"/>
    <n v="800"/>
    <n v="362.87360000000001"/>
    <n v="308"/>
  </r>
  <r>
    <s v="MATS2779859-000"/>
    <s v="US , CA"/>
    <x v="0"/>
    <x v="0"/>
    <x v="0"/>
    <x v="20"/>
    <s v="0706.90"/>
    <n v="122"/>
    <n v="55.338223999999997"/>
    <n v="222.51999999999998"/>
  </r>
  <r>
    <s v="MATS2779859-000"/>
    <s v="US , CA"/>
    <x v="0"/>
    <x v="0"/>
    <x v="0"/>
    <x v="25"/>
    <s v="0709.93"/>
    <n v="156"/>
    <n v="70.760351999999997"/>
    <n v="97.5"/>
  </r>
  <r>
    <s v="MATS2779859-000"/>
    <s v="US , CA"/>
    <x v="0"/>
    <x v="0"/>
    <x v="0"/>
    <x v="60"/>
    <s v="0714.20"/>
    <n v="198"/>
    <n v="89.811216000000002"/>
    <n v="235"/>
  </r>
  <r>
    <s v="MATS2779859-000"/>
    <s v="US , CA"/>
    <x v="0"/>
    <x v="0"/>
    <x v="0"/>
    <x v="11"/>
    <s v="0702.00"/>
    <n v="1290"/>
    <n v="585.13368000000003"/>
    <n v="1428"/>
  </r>
  <r>
    <s v="MATS1987154-000"/>
    <s v="US , CA"/>
    <x v="0"/>
    <x v="0"/>
    <x v="0"/>
    <x v="29"/>
    <s v="0806.10"/>
    <n v="6786"/>
    <n v="3078.0753119999999"/>
    <n v="17698.04"/>
  </r>
  <r>
    <s v="MATS1987154-000"/>
    <s v="US , CA"/>
    <x v="0"/>
    <x v="0"/>
    <x v="0"/>
    <x v="29"/>
    <s v="0806.10"/>
    <n v="3834"/>
    <n v="1739.0717279999999"/>
    <n v="10624.44"/>
  </r>
  <r>
    <s v="MATS1987154-000"/>
    <s v="US , CA"/>
    <x v="0"/>
    <x v="0"/>
    <x v="0"/>
    <x v="67"/>
    <s v="0805.40"/>
    <n v="1575"/>
    <n v="714.40739999999994"/>
    <n v="1827"/>
  </r>
  <r>
    <s v="MATS1987154-000"/>
    <s v="US , CA"/>
    <x v="0"/>
    <x v="0"/>
    <x v="0"/>
    <x v="65"/>
    <s v="0810.50"/>
    <n v="640"/>
    <n v="290.29888"/>
    <n v="1360"/>
  </r>
  <r>
    <s v="MATS1987154-000"/>
    <s v="US , CA"/>
    <x v="0"/>
    <x v="0"/>
    <x v="0"/>
    <x v="64"/>
    <s v="0805.50"/>
    <n v="4560"/>
    <n v="2068.37952"/>
    <n v="4437"/>
  </r>
  <r>
    <s v="MATS1987154-000"/>
    <s v="US , CA"/>
    <x v="0"/>
    <x v="0"/>
    <x v="0"/>
    <x v="61"/>
    <s v="0805.21"/>
    <n v="7200"/>
    <n v="3265.8624"/>
    <n v="11560.8"/>
  </r>
  <r>
    <s v="MATS1987154-000"/>
    <s v="US , CA"/>
    <x v="0"/>
    <x v="0"/>
    <x v="0"/>
    <x v="74"/>
    <s v="0807.19"/>
    <n v="4400"/>
    <n v="1995.8047999999999"/>
    <n v="2789.6"/>
  </r>
  <r>
    <s v="MATS1987154-000"/>
    <s v="US , CA"/>
    <x v="0"/>
    <x v="0"/>
    <x v="0"/>
    <x v="14"/>
    <s v="0805.10"/>
    <n v="2520"/>
    <n v="1143.0518400000001"/>
    <n v="2929.5"/>
  </r>
  <r>
    <s v="MATS1987154-000"/>
    <s v="US , CA"/>
    <x v="0"/>
    <x v="0"/>
    <x v="0"/>
    <x v="66"/>
    <s v="0701.00"/>
    <n v="4750"/>
    <n v="2154.5619999999999"/>
    <n v="3723.13"/>
  </r>
  <r>
    <s v="MATS3340399-000"/>
    <s v="US , CA"/>
    <x v="0"/>
    <x v="0"/>
    <x v="0"/>
    <x v="27"/>
    <s v="0804.40"/>
    <n v="1566"/>
    <n v="710.32507199999998"/>
    <n v="2967.65"/>
  </r>
  <r>
    <s v="MATS3340399-000"/>
    <s v="US , CA"/>
    <x v="0"/>
    <x v="0"/>
    <x v="0"/>
    <x v="100"/>
    <s v="0803.90"/>
    <n v="80"/>
    <n v="36.28736"/>
    <n v="109.76"/>
  </r>
  <r>
    <s v="MATS3340399-000"/>
    <s v="US , CA"/>
    <x v="0"/>
    <x v="0"/>
    <x v="0"/>
    <x v="43"/>
    <s v="0703.20"/>
    <n v="1210"/>
    <n v="548.84631999999999"/>
    <n v="4629.28"/>
  </r>
  <r>
    <s v="MATS3340399-000"/>
    <s v="US , CA"/>
    <x v="0"/>
    <x v="0"/>
    <x v="0"/>
    <x v="67"/>
    <s v="0805.40"/>
    <n v="2204"/>
    <n v="999.716768"/>
    <n v="2504.6999999999998"/>
  </r>
  <r>
    <s v="MATS3340399-000"/>
    <s v="US , CA"/>
    <x v="0"/>
    <x v="0"/>
    <x v="0"/>
    <x v="65"/>
    <s v="0810.50"/>
    <n v="96"/>
    <n v="43.544832"/>
    <n v="302.39999999999998"/>
  </r>
  <r>
    <s v="MATS3340399-000"/>
    <s v="US , CA"/>
    <x v="0"/>
    <x v="0"/>
    <x v="0"/>
    <x v="69"/>
    <s v="0805.50"/>
    <n v="756"/>
    <n v="342.91555199999999"/>
    <n v="601.86"/>
  </r>
  <r>
    <s v="MATS3340399-000"/>
    <s v="US , CA"/>
    <x v="0"/>
    <x v="0"/>
    <x v="0"/>
    <x v="16"/>
    <s v="0804.50"/>
    <n v="3744"/>
    <n v="1698.2484480000001"/>
    <n v="9678.24"/>
  </r>
  <r>
    <s v="MATS3340399-000"/>
    <s v="US , CA"/>
    <x v="0"/>
    <x v="0"/>
    <x v="0"/>
    <x v="73"/>
    <s v="0807.19"/>
    <n v="7562"/>
    <n v="3430.0627039999999"/>
    <n v="4368.05"/>
  </r>
  <r>
    <s v="MATS3340399-000"/>
    <s v="US , CA"/>
    <x v="0"/>
    <x v="0"/>
    <x v="0"/>
    <x v="76"/>
    <s v="0807.11"/>
    <n v="4500"/>
    <n v="2041.164"/>
    <n v="1939.02"/>
  </r>
  <r>
    <s v="MATS3340399-000"/>
    <s v="US , CA"/>
    <x v="0"/>
    <x v="0"/>
    <x v="0"/>
    <x v="91"/>
    <s v="1202.00"/>
    <n v="120"/>
    <n v="54.431039999999996"/>
    <n v="364.02"/>
  </r>
  <r>
    <s v="MATS3340399-000"/>
    <s v="US , CA"/>
    <x v="0"/>
    <x v="0"/>
    <x v="0"/>
    <x v="14"/>
    <s v="0805.10"/>
    <n v="2800"/>
    <n v="1270.0576000000001"/>
    <n v="2774.1"/>
  </r>
  <r>
    <s v="MATS3340399-000"/>
    <s v="US , CA"/>
    <x v="0"/>
    <x v="0"/>
    <x v="0"/>
    <x v="64"/>
    <s v="0805.50"/>
    <n v="180"/>
    <n v="81.646559999999994"/>
    <n v="335.35"/>
  </r>
  <r>
    <s v="MATS3340399-000"/>
    <s v="US , CA"/>
    <x v="0"/>
    <x v="0"/>
    <x v="0"/>
    <x v="24"/>
    <s v="0709.60"/>
    <n v="52"/>
    <n v="23.586784000000002"/>
    <n v="256.08"/>
  </r>
  <r>
    <s v="MATS3340399-000"/>
    <s v="US , CA"/>
    <x v="0"/>
    <x v="0"/>
    <x v="0"/>
    <x v="66"/>
    <s v="0701.00"/>
    <n v="730"/>
    <n v="331.12216000000001"/>
    <n v="1090.8699999999999"/>
  </r>
  <r>
    <s v="MATS3340399-000"/>
    <s v="US , CA"/>
    <x v="0"/>
    <x v="0"/>
    <x v="0"/>
    <x v="11"/>
    <s v="0702.00"/>
    <n v="7984"/>
    <n v="3621.4785280000001"/>
    <n v="12359.9"/>
  </r>
  <r>
    <s v="MATS3340399-000"/>
    <s v="US , CA"/>
    <x v="0"/>
    <x v="0"/>
    <x v="0"/>
    <x v="72"/>
    <s v="0808.30"/>
    <n v="352"/>
    <n v="159.66438399999998"/>
    <n v="634.08000000000004"/>
  </r>
  <r>
    <s v="MATS3340399-000"/>
    <s v="US , CA"/>
    <x v="0"/>
    <x v="0"/>
    <x v="0"/>
    <x v="82"/>
    <s v="0810.90"/>
    <n v="891"/>
    <n v="404.15047199999998"/>
    <n v="1569.48"/>
  </r>
  <r>
    <s v="MATS3340399-000"/>
    <s v="US , CA"/>
    <x v="0"/>
    <x v="0"/>
    <x v="0"/>
    <x v="25"/>
    <s v="0709.93"/>
    <n v="1260"/>
    <n v="571.52592000000004"/>
    <n v="778.96"/>
  </r>
  <r>
    <s v="MATS3340399-000"/>
    <s v="US , CA"/>
    <x v="0"/>
    <x v="0"/>
    <x v="0"/>
    <x v="60"/>
    <s v="0714.20"/>
    <n v="200"/>
    <n v="90.718400000000003"/>
    <n v="152.44999999999999"/>
  </r>
  <r>
    <s v="MATS3340399-000"/>
    <s v="US , CA"/>
    <x v="0"/>
    <x v="0"/>
    <x v="0"/>
    <x v="57"/>
    <s v="0808.10"/>
    <n v="1440"/>
    <n v="653.17247999999995"/>
    <n v="2463"/>
  </r>
  <r>
    <s v="MATS1970336-000"/>
    <s v="US , CA"/>
    <x v="0"/>
    <x v="0"/>
    <x v="0"/>
    <x v="0"/>
    <s v="0709.20"/>
    <n v="176"/>
    <n v="79.832191999999992"/>
    <n v="873"/>
  </r>
  <r>
    <s v="MATS1970336-000"/>
    <s v="US , CA"/>
    <x v="0"/>
    <x v="0"/>
    <x v="0"/>
    <x v="27"/>
    <s v="0804.40"/>
    <n v="810"/>
    <n v="367.40951999999999"/>
    <n v="1452.6"/>
  </r>
  <r>
    <s v="MATS1970336-000"/>
    <s v="US , CA"/>
    <x v="0"/>
    <x v="0"/>
    <x v="0"/>
    <x v="2"/>
    <s v="0704.90"/>
    <n v="324"/>
    <n v="146.963808"/>
    <n v="504"/>
  </r>
  <r>
    <s v="MATS1970336-000"/>
    <s v="US , CA"/>
    <x v="0"/>
    <x v="0"/>
    <x v="0"/>
    <x v="3"/>
    <s v="0704.20"/>
    <n v="75"/>
    <n v="34.019399999999997"/>
    <n v="108"/>
  </r>
  <r>
    <s v="MATS1970336-000"/>
    <s v="US , CA"/>
    <x v="0"/>
    <x v="0"/>
    <x v="0"/>
    <x v="35"/>
    <s v="0704.90"/>
    <n v="637"/>
    <n v="288.93810400000001"/>
    <n v="489.5"/>
  </r>
  <r>
    <s v="MATS1970336-000"/>
    <s v="US , CA"/>
    <x v="0"/>
    <x v="0"/>
    <x v="0"/>
    <x v="35"/>
    <s v="0704.90"/>
    <n v="150"/>
    <n v="68.038799999999995"/>
    <n v="84"/>
  </r>
  <r>
    <s v="MATS1970336-000"/>
    <s v="US , CA"/>
    <x v="0"/>
    <x v="0"/>
    <x v="0"/>
    <x v="12"/>
    <s v="0706.10"/>
    <n v="3603"/>
    <n v="1634.291976"/>
    <n v="2962.8700000000003"/>
  </r>
  <r>
    <s v="MATS1970336-000"/>
    <s v="US , CA"/>
    <x v="0"/>
    <x v="0"/>
    <x v="0"/>
    <x v="33"/>
    <s v="0704.10"/>
    <n v="133"/>
    <n v="60.327736000000002"/>
    <n v="151.5"/>
  </r>
  <r>
    <s v="MATS1970336-000"/>
    <s v="US , CA"/>
    <x v="0"/>
    <x v="0"/>
    <x v="0"/>
    <x v="21"/>
    <s v="0709.40"/>
    <n v="104"/>
    <n v="47.173568000000003"/>
    <n v="49"/>
  </r>
  <r>
    <s v="MATS1970336-000"/>
    <s v="US , CA"/>
    <x v="0"/>
    <x v="0"/>
    <x v="0"/>
    <x v="29"/>
    <s v="0806.10"/>
    <n v="108"/>
    <n v="48.987935999999998"/>
    <n v="246"/>
  </r>
  <r>
    <s v="MATS1970336-000"/>
    <s v="US , CA"/>
    <x v="0"/>
    <x v="0"/>
    <x v="0"/>
    <x v="29"/>
    <s v="0806.10"/>
    <n v="144"/>
    <n v="65.317248000000006"/>
    <n v="328"/>
  </r>
  <r>
    <s v="MATS1970336-000"/>
    <s v="US , CA"/>
    <x v="0"/>
    <x v="0"/>
    <x v="0"/>
    <x v="39"/>
    <s v="0704.90"/>
    <n v="348"/>
    <n v="157.85001600000001"/>
    <n v="507.5"/>
  </r>
  <r>
    <s v="MATS1970336-000"/>
    <s v="US , CA"/>
    <x v="0"/>
    <x v="0"/>
    <x v="0"/>
    <x v="65"/>
    <s v="0810.50"/>
    <n v="66"/>
    <n v="29.937072000000001"/>
    <n v="198"/>
  </r>
  <r>
    <s v="MATS1970336-000"/>
    <s v="US , CA"/>
    <x v="0"/>
    <x v="0"/>
    <x v="0"/>
    <x v="23"/>
    <s v="0705.11"/>
    <n v="5482"/>
    <n v="2486.5913439999999"/>
    <n v="5241"/>
  </r>
  <r>
    <s v="MATS1970336-000"/>
    <s v="US , CA"/>
    <x v="0"/>
    <x v="0"/>
    <x v="0"/>
    <x v="23"/>
    <s v="0705.11"/>
    <n v="102"/>
    <n v="46.266384000000002"/>
    <n v="135"/>
  </r>
  <r>
    <s v="MATS1970336-000"/>
    <s v="US , CA"/>
    <x v="0"/>
    <x v="0"/>
    <x v="0"/>
    <x v="69"/>
    <s v="0805.50"/>
    <n v="648"/>
    <n v="293.927616"/>
    <n v="565.35"/>
  </r>
  <r>
    <s v="MATS1970336-000"/>
    <s v="US , CA"/>
    <x v="0"/>
    <x v="0"/>
    <x v="0"/>
    <x v="16"/>
    <s v="0804.50"/>
    <n v="56"/>
    <n v="25.401152"/>
    <n v="175"/>
  </r>
  <r>
    <s v="MATS1970336-000"/>
    <s v="US , CA"/>
    <x v="0"/>
    <x v="0"/>
    <x v="0"/>
    <x v="73"/>
    <s v="0807.19"/>
    <n v="5130"/>
    <n v="2326.9269599999998"/>
    <n v="3413.22"/>
  </r>
  <r>
    <s v="MATS1970336-000"/>
    <s v="US , CA"/>
    <x v="0"/>
    <x v="0"/>
    <x v="0"/>
    <x v="74"/>
    <s v="0807.19"/>
    <n v="325"/>
    <n v="147.41739999999999"/>
    <n v="292.5"/>
  </r>
  <r>
    <s v="MATS1970336-000"/>
    <s v="US , CA"/>
    <x v="0"/>
    <x v="0"/>
    <x v="0"/>
    <x v="76"/>
    <s v="0807.11"/>
    <n v="4800"/>
    <n v="2177.2415999999998"/>
    <n v="1822.24"/>
  </r>
  <r>
    <s v="MATS1970336-000"/>
    <s v="US , CA"/>
    <x v="0"/>
    <x v="0"/>
    <x v="0"/>
    <x v="10"/>
    <s v="0709.51"/>
    <n v="441"/>
    <n v="200.03407200000001"/>
    <n v="280"/>
  </r>
  <r>
    <s v="MATS1970336-000"/>
    <s v="US , CA"/>
    <x v="0"/>
    <x v="0"/>
    <x v="0"/>
    <x v="22"/>
    <s v="0703.90"/>
    <n v="23"/>
    <n v="10.432615999999999"/>
    <n v="26"/>
  </r>
  <r>
    <s v="MATS1970336-000"/>
    <s v="US , CA"/>
    <x v="0"/>
    <x v="0"/>
    <x v="0"/>
    <x v="32"/>
    <s v="0703.10"/>
    <n v="75"/>
    <n v="34.019399999999997"/>
    <n v="115.5"/>
  </r>
  <r>
    <s v="MATS1970336-000"/>
    <s v="US , CA"/>
    <x v="0"/>
    <x v="0"/>
    <x v="0"/>
    <x v="14"/>
    <s v="0805.10"/>
    <n v="80"/>
    <n v="36.28736"/>
    <n v="108"/>
  </r>
  <r>
    <s v="MATS1970336-000"/>
    <s v="US , CA"/>
    <x v="0"/>
    <x v="0"/>
    <x v="0"/>
    <x v="47"/>
    <s v="0709.99"/>
    <n v="24"/>
    <n v="10.886208"/>
    <n v="45"/>
  </r>
  <r>
    <s v="MATS1970336-000"/>
    <s v="US , CA"/>
    <x v="0"/>
    <x v="0"/>
    <x v="0"/>
    <x v="24"/>
    <s v="0709.60"/>
    <n v="550"/>
    <n v="249.47559999999999"/>
    <n v="635"/>
  </r>
  <r>
    <s v="MATS1970336-000"/>
    <s v="US , CA"/>
    <x v="0"/>
    <x v="0"/>
    <x v="0"/>
    <x v="66"/>
    <s v="0701.00"/>
    <n v="3930"/>
    <n v="1782.6165599999999"/>
    <n v="3153.66"/>
  </r>
  <r>
    <s v="MATS1970336-000"/>
    <s v="US , CA"/>
    <x v="0"/>
    <x v="0"/>
    <x v="0"/>
    <x v="20"/>
    <s v="0706.90"/>
    <n v="125"/>
    <n v="56.698999999999998"/>
    <n v="222.5"/>
  </r>
  <r>
    <s v="MATS1970336-000"/>
    <s v="US , CA"/>
    <x v="0"/>
    <x v="0"/>
    <x v="0"/>
    <x v="25"/>
    <s v="0709.93"/>
    <n v="144"/>
    <n v="65.317248000000006"/>
    <n v="100.96000000000001"/>
  </r>
  <r>
    <s v="MATS1970336-000"/>
    <s v="US , CA"/>
    <x v="0"/>
    <x v="0"/>
    <x v="0"/>
    <x v="11"/>
    <s v="0702.00"/>
    <n v="1240"/>
    <n v="562.45407999999998"/>
    <n v="1504.6399999999999"/>
  </r>
  <r>
    <s v="MATS1970336-000"/>
    <s v="US , CA"/>
    <x v="0"/>
    <x v="0"/>
    <x v="0"/>
    <x v="67"/>
    <s v="0805.40"/>
    <n v="1140"/>
    <n v="517.09487999999999"/>
    <n v="1215"/>
  </r>
  <r>
    <s v="MATS1970336-000"/>
    <s v="US , CA"/>
    <x v="0"/>
    <x v="0"/>
    <x v="0"/>
    <x v="91"/>
    <s v="1202.00"/>
    <n v="250"/>
    <n v="113.398"/>
    <n v="353.65"/>
  </r>
  <r>
    <s v="MATS1970336-000"/>
    <s v="US , CA"/>
    <x v="0"/>
    <x v="0"/>
    <x v="0"/>
    <x v="64"/>
    <s v="0805.50"/>
    <n v="144"/>
    <n v="65.317248000000006"/>
    <n v="260.95999999999998"/>
  </r>
  <r>
    <s v="MATS7257931-000"/>
    <s v="US , CA"/>
    <x v="0"/>
    <x v="0"/>
    <x v="0"/>
    <x v="0"/>
    <s v="0709.20"/>
    <n v="330"/>
    <n v="149.68536"/>
    <n v="1635"/>
  </r>
  <r>
    <s v="MATS7257931-000"/>
    <s v="US , CA"/>
    <x v="0"/>
    <x v="0"/>
    <x v="0"/>
    <x v="27"/>
    <s v="0804.40"/>
    <n v="135"/>
    <n v="61.234920000000002"/>
    <n v="345"/>
  </r>
  <r>
    <s v="MATS7257931-000"/>
    <s v="US , CA"/>
    <x v="0"/>
    <x v="0"/>
    <x v="0"/>
    <x v="58"/>
    <s v="0706.90"/>
    <n v="25"/>
    <n v="11.3398"/>
    <n v="20"/>
  </r>
  <r>
    <s v="MATS7257931-000"/>
    <s v="US , CA"/>
    <x v="0"/>
    <x v="0"/>
    <x v="0"/>
    <x v="2"/>
    <s v="0704.90"/>
    <n v="594"/>
    <n v="269.43364800000001"/>
    <n v="924"/>
  </r>
  <r>
    <s v="MATS7257931-000"/>
    <s v="US , CA"/>
    <x v="0"/>
    <x v="0"/>
    <x v="0"/>
    <x v="3"/>
    <s v="0704.20"/>
    <n v="100"/>
    <n v="45.359200000000001"/>
    <n v="144"/>
  </r>
  <r>
    <s v="MATS7257931-000"/>
    <s v="US , CA"/>
    <x v="0"/>
    <x v="0"/>
    <x v="0"/>
    <x v="35"/>
    <s v="0704.90"/>
    <n v="1232"/>
    <n v="558.82534399999997"/>
    <n v="1006"/>
  </r>
  <r>
    <s v="MATS7257931-000"/>
    <s v="US , CA"/>
    <x v="0"/>
    <x v="0"/>
    <x v="0"/>
    <x v="35"/>
    <s v="0704.90"/>
    <n v="200"/>
    <n v="90.718400000000003"/>
    <n v="112"/>
  </r>
  <r>
    <s v="MATS7257931-000"/>
    <s v="US , CA"/>
    <x v="0"/>
    <x v="0"/>
    <x v="0"/>
    <x v="12"/>
    <s v="0706.10"/>
    <n v="5253"/>
    <n v="2382.7187760000002"/>
    <n v="4819.0900000000011"/>
  </r>
  <r>
    <s v="MATS7257931-000"/>
    <s v="US , CA"/>
    <x v="0"/>
    <x v="0"/>
    <x v="0"/>
    <x v="2"/>
    <s v="0704.90"/>
    <n v="18"/>
    <n v="8.1646560000000008"/>
    <n v="39"/>
  </r>
  <r>
    <s v="MATS7257931-000"/>
    <s v="US , CA"/>
    <x v="0"/>
    <x v="0"/>
    <x v="0"/>
    <x v="21"/>
    <s v="0709.40"/>
    <n v="416"/>
    <n v="188.69427200000001"/>
    <n v="196"/>
  </r>
  <r>
    <s v="MATS7257931-000"/>
    <s v="US , CA"/>
    <x v="0"/>
    <x v="0"/>
    <x v="0"/>
    <x v="77"/>
    <s v="0910.11"/>
    <n v="120"/>
    <n v="54.431039999999996"/>
    <n v="210"/>
  </r>
  <r>
    <s v="MATS7257931-000"/>
    <s v="US , CA"/>
    <x v="0"/>
    <x v="0"/>
    <x v="0"/>
    <x v="29"/>
    <s v="0806.10"/>
    <n v="216"/>
    <n v="97.975871999999995"/>
    <n v="492"/>
  </r>
  <r>
    <s v="MATS7257931-000"/>
    <s v="US , CA"/>
    <x v="0"/>
    <x v="0"/>
    <x v="0"/>
    <x v="29"/>
    <s v="0806.10"/>
    <n v="396"/>
    <n v="179.622432"/>
    <n v="909.5"/>
  </r>
  <r>
    <s v="MATS7257931-000"/>
    <s v="US , CA"/>
    <x v="0"/>
    <x v="0"/>
    <x v="0"/>
    <x v="39"/>
    <s v="0704.90"/>
    <n v="360"/>
    <n v="163.29311999999999"/>
    <n v="525"/>
  </r>
  <r>
    <s v="MATS7257931-000"/>
    <s v="US , CA"/>
    <x v="0"/>
    <x v="0"/>
    <x v="0"/>
    <x v="65"/>
    <s v="0810.50"/>
    <n v="66"/>
    <n v="29.937072000000001"/>
    <n v="198"/>
  </r>
  <r>
    <s v="MATS7257931-000"/>
    <s v="US , CA"/>
    <x v="0"/>
    <x v="0"/>
    <x v="0"/>
    <x v="64"/>
    <s v="0805.50"/>
    <n v="480"/>
    <n v="217.72415999999998"/>
    <n v="498"/>
  </r>
  <r>
    <s v="MATS7257931-000"/>
    <s v="US , CA"/>
    <x v="0"/>
    <x v="0"/>
    <x v="0"/>
    <x v="23"/>
    <s v="0705.11"/>
    <n v="6220"/>
    <n v="2821.3422399999999"/>
    <n v="5909"/>
  </r>
  <r>
    <s v="MATS7257931-000"/>
    <s v="US , CA"/>
    <x v="0"/>
    <x v="0"/>
    <x v="0"/>
    <x v="69"/>
    <s v="0805.50"/>
    <n v="252"/>
    <n v="114.305184"/>
    <n v="465.5"/>
  </r>
  <r>
    <s v="MATS7257931-000"/>
    <s v="US , CA"/>
    <x v="0"/>
    <x v="0"/>
    <x v="0"/>
    <x v="16"/>
    <s v="0804.50"/>
    <n v="136"/>
    <n v="61.688512000000003"/>
    <n v="425"/>
  </r>
  <r>
    <s v="MATS7257931-000"/>
    <s v="US , CA"/>
    <x v="0"/>
    <x v="0"/>
    <x v="0"/>
    <x v="73"/>
    <s v="0807.19"/>
    <n v="684"/>
    <n v="310.25692800000002"/>
    <n v="423"/>
  </r>
  <r>
    <s v="MATS7257931-000"/>
    <s v="US , CA"/>
    <x v="0"/>
    <x v="0"/>
    <x v="0"/>
    <x v="74"/>
    <s v="0807.19"/>
    <n v="350"/>
    <n v="158.75720000000001"/>
    <n v="315"/>
  </r>
  <r>
    <s v="MATS7257931-000"/>
    <s v="US , CA"/>
    <x v="0"/>
    <x v="0"/>
    <x v="0"/>
    <x v="76"/>
    <s v="0807.11"/>
    <n v="300"/>
    <n v="136.07759999999999"/>
    <n v="212.5"/>
  </r>
  <r>
    <s v="MATS7257931-000"/>
    <s v="US , CA"/>
    <x v="0"/>
    <x v="0"/>
    <x v="0"/>
    <x v="10"/>
    <s v="0709.51"/>
    <n v="483"/>
    <n v="219.084936"/>
    <n v="1449"/>
  </r>
  <r>
    <s v="MATS7257931-000"/>
    <s v="US , CA"/>
    <x v="0"/>
    <x v="0"/>
    <x v="0"/>
    <x v="22"/>
    <s v="0703.90"/>
    <n v="383"/>
    <n v="173.72573600000001"/>
    <n v="746"/>
  </r>
  <r>
    <s v="MATS7257931-000"/>
    <s v="US , CA"/>
    <x v="0"/>
    <x v="0"/>
    <x v="0"/>
    <x v="32"/>
    <s v="0703.10"/>
    <n v="75"/>
    <n v="34.019399999999997"/>
    <n v="115.5"/>
  </r>
  <r>
    <s v="MATS7257931-000"/>
    <s v="US , CA"/>
    <x v="0"/>
    <x v="0"/>
    <x v="0"/>
    <x v="14"/>
    <s v="0805.10"/>
    <n v="120"/>
    <n v="54.431039999999996"/>
    <n v="162"/>
  </r>
  <r>
    <s v="MATS7257931-000"/>
    <s v="US , CA"/>
    <x v="0"/>
    <x v="0"/>
    <x v="0"/>
    <x v="47"/>
    <s v="0709.99"/>
    <n v="36"/>
    <n v="16.329312000000002"/>
    <n v="67.5"/>
  </r>
  <r>
    <s v="MATS7257931-000"/>
    <s v="US , CA"/>
    <x v="0"/>
    <x v="0"/>
    <x v="0"/>
    <x v="72"/>
    <s v="0808.30"/>
    <n v="80"/>
    <n v="36.28736"/>
    <n v="75"/>
  </r>
  <r>
    <s v="MATS7257931-000"/>
    <s v="US , CA"/>
    <x v="0"/>
    <x v="0"/>
    <x v="0"/>
    <x v="24"/>
    <s v="0709.60"/>
    <n v="750"/>
    <n v="340.19400000000002"/>
    <n v="860"/>
  </r>
  <r>
    <s v="MATS7257931-000"/>
    <s v="US , CA"/>
    <x v="0"/>
    <x v="0"/>
    <x v="0"/>
    <x v="75"/>
    <s v="0804.30"/>
    <n v="25"/>
    <n v="11.3398"/>
    <n v="24"/>
  </r>
  <r>
    <s v="MATS7257931-000"/>
    <s v="US , CA"/>
    <x v="0"/>
    <x v="0"/>
    <x v="0"/>
    <x v="66"/>
    <s v="0701.00"/>
    <n v="1300"/>
    <n v="589.66959999999995"/>
    <n v="201.5"/>
  </r>
  <r>
    <s v="MATS7257931-000"/>
    <s v="US , CA"/>
    <x v="0"/>
    <x v="0"/>
    <x v="0"/>
    <x v="20"/>
    <s v="0706.90"/>
    <n v="100"/>
    <n v="45.359200000000001"/>
    <n v="178"/>
  </r>
  <r>
    <s v="MATS7257931-000"/>
    <s v="US , CA"/>
    <x v="0"/>
    <x v="0"/>
    <x v="0"/>
    <x v="25"/>
    <s v="0709.93"/>
    <n v="72"/>
    <n v="32.658624000000003"/>
    <n v="38"/>
  </r>
  <r>
    <s v="MATS7257931-000"/>
    <s v="US , CA"/>
    <x v="0"/>
    <x v="0"/>
    <x v="0"/>
    <x v="25"/>
    <s v="0709.93"/>
    <n v="96"/>
    <n v="43.544832"/>
    <n v="72"/>
  </r>
  <r>
    <s v="MATS7257931-000"/>
    <s v="US , CA"/>
    <x v="0"/>
    <x v="0"/>
    <x v="0"/>
    <x v="60"/>
    <s v="0714.20"/>
    <n v="198"/>
    <n v="89.811216000000002"/>
    <n v="235"/>
  </r>
  <r>
    <s v="MATS7257931-000"/>
    <s v="US , CA"/>
    <x v="0"/>
    <x v="0"/>
    <x v="0"/>
    <x v="11"/>
    <s v="0702.00"/>
    <n v="1600"/>
    <n v="725.74720000000002"/>
    <n v="1796"/>
  </r>
  <r>
    <s v="MATS7257931-000"/>
    <s v="US , CA"/>
    <x v="0"/>
    <x v="0"/>
    <x v="0"/>
    <x v="91"/>
    <s v="1202.00"/>
    <n v="150"/>
    <n v="68.038799999999995"/>
    <n v="212.19"/>
  </r>
  <r>
    <s v="MATS7257931-000"/>
    <s v="US , CA"/>
    <x v="0"/>
    <x v="0"/>
    <x v="0"/>
    <x v="107"/>
    <s v="0802.91"/>
    <n v="1.9"/>
    <n v="0.86182479999999995"/>
    <n v="88.9"/>
  </r>
  <r>
    <s v="MATS7257931-000"/>
    <s v="US , CA"/>
    <x v="0"/>
    <x v="0"/>
    <x v="0"/>
    <x v="32"/>
    <s v="0703.10"/>
    <n v="75"/>
    <n v="34.019399999999997"/>
    <n v="115.5"/>
  </r>
  <r>
    <s v="MATS4739266-000"/>
    <s v="US , CA"/>
    <x v="0"/>
    <x v="0"/>
    <x v="0"/>
    <x v="35"/>
    <s v="0704.90"/>
    <n v="11368"/>
    <n v="5156.4338559999997"/>
    <n v="8476.880000000001"/>
  </r>
  <r>
    <s v="MATS4739266-000"/>
    <s v="US , CA"/>
    <x v="0"/>
    <x v="0"/>
    <x v="0"/>
    <x v="2"/>
    <s v="0704.90"/>
    <n v="1288"/>
    <n v="584.226496"/>
    <n v="1867.6"/>
  </r>
  <r>
    <s v="MATS4739266-000"/>
    <s v="US , CA"/>
    <x v="0"/>
    <x v="0"/>
    <x v="0"/>
    <x v="21"/>
    <s v="0709.40"/>
    <n v="5727"/>
    <n v="2597.7213839999999"/>
    <n v="3147"/>
  </r>
  <r>
    <s v="MATS4739266-000"/>
    <s v="US , CA"/>
    <x v="0"/>
    <x v="0"/>
    <x v="0"/>
    <x v="23"/>
    <s v="0705.11"/>
    <n v="11296"/>
    <n v="5123.775232"/>
    <n v="11369.619999999999"/>
  </r>
  <r>
    <s v="MATS1863238-000"/>
    <s v="US"/>
    <x v="0"/>
    <x v="0"/>
    <x v="0"/>
    <x v="57"/>
    <s v="0808.10"/>
    <n v="1080"/>
    <n v="489.87936000000002"/>
    <n v="2624.78"/>
  </r>
  <r>
    <s v="MATS1863238-000"/>
    <s v="US"/>
    <x v="0"/>
    <x v="0"/>
    <x v="0"/>
    <x v="57"/>
    <s v="0808.10"/>
    <n v="148"/>
    <n v="67.131615999999994"/>
    <n v="172.99"/>
  </r>
  <r>
    <s v="MATS1863238-000"/>
    <s v="MX"/>
    <x v="2"/>
    <x v="2"/>
    <x v="1"/>
    <x v="69"/>
    <s v="0805.50"/>
    <n v="153"/>
    <n v="69.399575999999996"/>
    <n v="185.79"/>
  </r>
  <r>
    <s v="MATS1863238-000"/>
    <s v="CL"/>
    <x v="11"/>
    <x v="11"/>
    <x v="1"/>
    <x v="29"/>
    <s v="0806.10"/>
    <n v="612"/>
    <n v="277.59830399999998"/>
    <n v="1708.43"/>
  </r>
  <r>
    <s v="MATS1863238-000"/>
    <s v="CL"/>
    <x v="11"/>
    <x v="11"/>
    <x v="1"/>
    <x v="29"/>
    <s v="0806.10"/>
    <n v="774"/>
    <n v="351.08020799999997"/>
    <n v="2160.66"/>
  </r>
  <r>
    <s v="MATS1863238-000"/>
    <s v="US"/>
    <x v="0"/>
    <x v="0"/>
    <x v="0"/>
    <x v="73"/>
    <s v="0807.19"/>
    <n v="315"/>
    <n v="142.88148000000001"/>
    <n v="253.11"/>
  </r>
  <r>
    <s v="MATS1863238-000"/>
    <s v="US"/>
    <x v="0"/>
    <x v="0"/>
    <x v="0"/>
    <x v="64"/>
    <s v="0805.50"/>
    <n v="397"/>
    <n v="180.07602399999999"/>
    <n v="751.43000000000006"/>
  </r>
  <r>
    <s v="MATS1863238-000"/>
    <s v="MX"/>
    <x v="2"/>
    <x v="2"/>
    <x v="1"/>
    <x v="64"/>
    <s v="0805.50"/>
    <n v="72"/>
    <n v="32.658624000000003"/>
    <n v="95.15"/>
  </r>
  <r>
    <s v="MATS1863238-000"/>
    <s v="CL"/>
    <x v="11"/>
    <x v="11"/>
    <x v="1"/>
    <x v="72"/>
    <s v="0808.30"/>
    <n v="40"/>
    <n v="18.14368"/>
    <n v="69.12"/>
  </r>
  <r>
    <s v="MATS1863238-000"/>
    <s v="US"/>
    <x v="0"/>
    <x v="0"/>
    <x v="0"/>
    <x v="72"/>
    <s v="0808.30"/>
    <n v="188"/>
    <n v="85.275295999999997"/>
    <n v="298.28000000000003"/>
  </r>
  <r>
    <s v="MATS1863238-000"/>
    <s v="US"/>
    <x v="0"/>
    <x v="0"/>
    <x v="0"/>
    <x v="65"/>
    <s v="0810.50"/>
    <n v="545"/>
    <n v="247.20764"/>
    <n v="1216.75"/>
  </r>
  <r>
    <s v="MATS1863238-000"/>
    <s v="MX"/>
    <x v="2"/>
    <x v="2"/>
    <x v="1"/>
    <x v="3"/>
    <s v="0704.20"/>
    <n v="25"/>
    <n v="11.3398"/>
    <n v="36.54"/>
  </r>
  <r>
    <s v="MATS1863238-000"/>
    <s v="CHN"/>
    <x v="13"/>
    <x v="8"/>
    <x v="1"/>
    <x v="77"/>
    <s v="0910.11"/>
    <n v="210"/>
    <n v="95.254319999999993"/>
    <n v="455.17"/>
  </r>
  <r>
    <s v="MATS1863238-000"/>
    <s v="US"/>
    <x v="0"/>
    <x v="0"/>
    <x v="0"/>
    <x v="32"/>
    <s v="0703.10"/>
    <n v="75"/>
    <n v="34.019399999999997"/>
    <n v="115.5"/>
  </r>
  <r>
    <s v="MATS1863238-000"/>
    <s v="US"/>
    <x v="0"/>
    <x v="0"/>
    <x v="0"/>
    <x v="47"/>
    <s v="0709.99"/>
    <n v="12"/>
    <n v="5.4431039999999999"/>
    <n v="38.54"/>
  </r>
  <r>
    <s v="MATS1863238-000"/>
    <s v="US"/>
    <x v="0"/>
    <x v="0"/>
    <x v="0"/>
    <x v="58"/>
    <s v="0706.90"/>
    <n v="25"/>
    <n v="11.3398"/>
    <n v="35.229999999999997"/>
  </r>
  <r>
    <s v="MATS1863238-000"/>
    <s v="US"/>
    <x v="0"/>
    <x v="0"/>
    <x v="0"/>
    <x v="2"/>
    <s v="0704.90"/>
    <n v="312"/>
    <n v="141.52070399999999"/>
    <n v="743.43"/>
  </r>
  <r>
    <s v="MATS1863238-000"/>
    <s v="US"/>
    <x v="0"/>
    <x v="0"/>
    <x v="0"/>
    <x v="35"/>
    <s v="0704.90"/>
    <n v="1080"/>
    <n v="489.87936000000002"/>
    <n v="1168.04"/>
  </r>
  <r>
    <s v="MATS1863238-000"/>
    <s v="US"/>
    <x v="0"/>
    <x v="0"/>
    <x v="0"/>
    <x v="66"/>
    <s v="0701.00"/>
    <n v="1564"/>
    <n v="709.41788799999995"/>
    <n v="2173.6"/>
  </r>
  <r>
    <s v="MATS1863238-000"/>
    <s v="US"/>
    <x v="0"/>
    <x v="0"/>
    <x v="0"/>
    <x v="60"/>
    <s v="0714.20"/>
    <n v="160"/>
    <n v="72.574719999999999"/>
    <n v="197.16"/>
  </r>
  <r>
    <s v="MATS1863238-000"/>
    <s v="US"/>
    <x v="0"/>
    <x v="0"/>
    <x v="0"/>
    <x v="63"/>
    <s v="0714.30"/>
    <n v="2304"/>
    <n v="1045.0759680000001"/>
    <n v="188.25"/>
  </r>
  <r>
    <s v="MATS1863238-000"/>
    <s v="US"/>
    <x v="0"/>
    <x v="0"/>
    <x v="0"/>
    <x v="12"/>
    <s v="0706.10"/>
    <n v="3636"/>
    <n v="1649.2605120000001"/>
    <n v="626.55999999999995"/>
  </r>
  <r>
    <s v="MATS1863238-000"/>
    <s v="MX"/>
    <x v="2"/>
    <x v="2"/>
    <x v="1"/>
    <x v="27"/>
    <s v="0804.40"/>
    <n v="169"/>
    <n v="76.657048000000003"/>
    <n v="605.94000000000005"/>
  </r>
  <r>
    <s v="MATS1863238-000"/>
    <s v="US"/>
    <x v="0"/>
    <x v="0"/>
    <x v="0"/>
    <x v="61"/>
    <s v="0805.21"/>
    <n v="1950"/>
    <n v="884.50440000000003"/>
    <n v="4578.68"/>
  </r>
  <r>
    <s v="MATS1863238-000"/>
    <s v="US"/>
    <x v="0"/>
    <x v="0"/>
    <x v="0"/>
    <x v="23"/>
    <s v="0705.11"/>
    <n v="536"/>
    <n v="243.12531200000001"/>
    <n v="1768.65"/>
  </r>
  <r>
    <s v="MATS1863238-000"/>
    <s v="US"/>
    <x v="0"/>
    <x v="0"/>
    <x v="0"/>
    <x v="0"/>
    <s v="0709.20"/>
    <n v="132"/>
    <n v="59.874144000000001"/>
    <n v="465.32"/>
  </r>
  <r>
    <s v="MATS1863238-000"/>
    <s v="MX"/>
    <x v="2"/>
    <x v="2"/>
    <x v="1"/>
    <x v="11"/>
    <s v="0702.00"/>
    <n v="989"/>
    <n v="448.60248799999999"/>
    <n v="2064.81"/>
  </r>
  <r>
    <s v="MATS1863238-000"/>
    <s v="US"/>
    <x v="0"/>
    <x v="0"/>
    <x v="0"/>
    <x v="39"/>
    <s v="0704.90"/>
    <n v="24"/>
    <n v="10.886208"/>
    <n v="26.53"/>
  </r>
  <r>
    <s v="MATS1863238-000"/>
    <s v="US"/>
    <x v="0"/>
    <x v="0"/>
    <x v="0"/>
    <x v="21"/>
    <s v="0709.40"/>
    <n v="270"/>
    <n v="122.46984"/>
    <n v="308.64999999999998"/>
  </r>
  <r>
    <s v="MATS1863238-000"/>
    <s v="US"/>
    <x v="0"/>
    <x v="0"/>
    <x v="0"/>
    <x v="11"/>
    <s v="0702.00"/>
    <n v="24"/>
    <n v="10.886208"/>
    <n v="158.58000000000001"/>
  </r>
  <r>
    <s v="MATS1863238-000"/>
    <s v="MX"/>
    <x v="2"/>
    <x v="2"/>
    <x v="1"/>
    <x v="25"/>
    <s v="0709.93"/>
    <n v="105"/>
    <n v="47.627159999999996"/>
    <n v="109.67"/>
  </r>
  <r>
    <s v="MATS1863238-000"/>
    <s v="PER"/>
    <x v="14"/>
    <x v="13"/>
    <x v="1"/>
    <x v="16"/>
    <s v="0804.50"/>
    <n v="231"/>
    <n v="104.779752"/>
    <n v="1085.28"/>
  </r>
  <r>
    <s v="MATS1863238-000"/>
    <s v="CRI"/>
    <x v="15"/>
    <x v="14"/>
    <x v="1"/>
    <x v="75"/>
    <s v="0804.30"/>
    <n v="154"/>
    <n v="69.853167999999997"/>
    <n v="237.19"/>
  </r>
  <r>
    <s v="MATS1863238-000"/>
    <s v="MX"/>
    <x v="2"/>
    <x v="2"/>
    <x v="1"/>
    <x v="24"/>
    <s v="0709.60"/>
    <n v="541"/>
    <n v="245.393272"/>
    <n v="1601.46"/>
  </r>
  <r>
    <s v="MATS1863238-000"/>
    <s v="US"/>
    <x v="0"/>
    <x v="0"/>
    <x v="0"/>
    <x v="33"/>
    <s v="0704.10"/>
    <n v="60"/>
    <n v="27.215519999999998"/>
    <n v="192.71"/>
  </r>
  <r>
    <s v="MATS1863238-000"/>
    <s v="US"/>
    <x v="0"/>
    <x v="0"/>
    <x v="0"/>
    <x v="10"/>
    <s v="0709.51"/>
    <n v="24"/>
    <n v="10.886208"/>
    <n v="44.51"/>
  </r>
  <r>
    <s v="MATS1863238-000"/>
    <s v="CHN"/>
    <x v="13"/>
    <x v="8"/>
    <x v="1"/>
    <x v="43"/>
    <s v="0703.20"/>
    <n v="385"/>
    <n v="174.63291999999998"/>
    <n v="671.47"/>
  </r>
  <r>
    <s v="MATS1863238-000"/>
    <s v="MX"/>
    <x v="2"/>
    <x v="2"/>
    <x v="1"/>
    <x v="43"/>
    <s v="0703.20"/>
    <n v="24"/>
    <n v="10.886208"/>
    <n v="48.61"/>
  </r>
  <r>
    <s v="MATS1863238-000"/>
    <s v="MX"/>
    <x v="2"/>
    <x v="2"/>
    <x v="1"/>
    <x v="68"/>
    <s v="0709.99"/>
    <n v="40"/>
    <n v="18.14368"/>
    <n v="69.290000000000006"/>
  </r>
  <r>
    <s v="MATS1863238-000"/>
    <s v="US"/>
    <x v="0"/>
    <x v="0"/>
    <x v="0"/>
    <x v="67"/>
    <s v="0805.40"/>
    <n v="66"/>
    <n v="29.937072000000001"/>
    <n v="149.57"/>
  </r>
  <r>
    <s v="MATS1863238-000"/>
    <s v="US"/>
    <x v="0"/>
    <x v="0"/>
    <x v="0"/>
    <x v="106"/>
    <s v="0809.10"/>
    <n v="144"/>
    <n v="65.317248000000006"/>
    <n v="322.77999999999997"/>
  </r>
  <r>
    <s v="MATS5386906-000"/>
    <s v="US"/>
    <x v="0"/>
    <x v="0"/>
    <x v="0"/>
    <x v="57"/>
    <s v="0808.10"/>
    <n v="2428"/>
    <n v="1101.3213760000001"/>
    <n v="2675.65"/>
  </r>
  <r>
    <s v="MATS5386906-000"/>
    <s v="US"/>
    <x v="0"/>
    <x v="0"/>
    <x v="0"/>
    <x v="57"/>
    <s v="0808.10"/>
    <n v="224"/>
    <n v="101.604608"/>
    <n v="261.26"/>
  </r>
  <r>
    <s v="MATS5386906-000"/>
    <s v="MX"/>
    <x v="2"/>
    <x v="2"/>
    <x v="1"/>
    <x v="69"/>
    <s v="0805.50"/>
    <n v="132"/>
    <n v="59.874144000000001"/>
    <n v="220.43"/>
  </r>
  <r>
    <s v="MATS5386906-000"/>
    <s v="CL"/>
    <x v="11"/>
    <x v="11"/>
    <x v="1"/>
    <x v="29"/>
    <s v="0806.10"/>
    <n v="1152"/>
    <n v="522.53798400000005"/>
    <n v="3215.87"/>
  </r>
  <r>
    <s v="MATS5386906-000"/>
    <s v="US"/>
    <x v="0"/>
    <x v="0"/>
    <x v="0"/>
    <x v="73"/>
    <s v="0807.19"/>
    <n v="315"/>
    <n v="142.88148000000001"/>
    <n v="253.11"/>
  </r>
  <r>
    <s v="MATS5386906-000"/>
    <s v="MX"/>
    <x v="2"/>
    <x v="2"/>
    <x v="1"/>
    <x v="74"/>
    <s v="0807.19"/>
    <n v="75"/>
    <n v="34.019399999999997"/>
    <n v="61.63"/>
  </r>
  <r>
    <s v="MATS5386906-000"/>
    <s v="US"/>
    <x v="0"/>
    <x v="0"/>
    <x v="0"/>
    <x v="64"/>
    <s v="0805.50"/>
    <n v="155"/>
    <n v="70.306759999999997"/>
    <n v="276.27999999999997"/>
  </r>
  <r>
    <s v="MATS5386906-000"/>
    <s v="MX"/>
    <x v="2"/>
    <x v="2"/>
    <x v="1"/>
    <x v="64"/>
    <s v="0805.50"/>
    <n v="36"/>
    <n v="16.329312000000002"/>
    <n v="47.58"/>
  </r>
  <r>
    <s v="MATS5386906-000"/>
    <s v="US"/>
    <x v="0"/>
    <x v="0"/>
    <x v="0"/>
    <x v="65"/>
    <s v="0810.50"/>
    <n v="424"/>
    <n v="192.32300799999999"/>
    <n v="1073.46"/>
  </r>
  <r>
    <s v="MATS5386906-000"/>
    <s v="MX"/>
    <x v="2"/>
    <x v="2"/>
    <x v="1"/>
    <x v="86"/>
    <s v="0801.19"/>
    <n v="32"/>
    <n v="14.514944"/>
    <n v="62.39"/>
  </r>
  <r>
    <s v="MATS5386906-000"/>
    <s v="MX"/>
    <x v="2"/>
    <x v="2"/>
    <x v="1"/>
    <x v="3"/>
    <s v="0704.20"/>
    <n v="25"/>
    <n v="11.3398"/>
    <n v="36.54"/>
  </r>
  <r>
    <s v="MATS5386906-000"/>
    <s v="CHN"/>
    <x v="13"/>
    <x v="8"/>
    <x v="1"/>
    <x v="77"/>
    <s v="0910.11"/>
    <n v="180"/>
    <n v="81.646559999999994"/>
    <n v="390.15"/>
  </r>
  <r>
    <s v="MATS5386906-000"/>
    <s v="US"/>
    <x v="0"/>
    <x v="0"/>
    <x v="0"/>
    <x v="47"/>
    <s v="0709.99"/>
    <n v="30"/>
    <n v="13.607759999999999"/>
    <n v="18.37"/>
  </r>
  <r>
    <s v="MATS5386906-000"/>
    <s v="US"/>
    <x v="0"/>
    <x v="0"/>
    <x v="0"/>
    <x v="32"/>
    <s v="0703.10"/>
    <n v="2276"/>
    <n v="1032.3753919999999"/>
    <n v="2147.85"/>
  </r>
  <r>
    <s v="MATS5386906-000"/>
    <s v="US"/>
    <x v="0"/>
    <x v="0"/>
    <x v="0"/>
    <x v="58"/>
    <s v="0706.90"/>
    <n v="50"/>
    <n v="22.679600000000001"/>
    <n v="62.45"/>
  </r>
  <r>
    <s v="MATS5386906-000"/>
    <s v="US"/>
    <x v="0"/>
    <x v="0"/>
    <x v="0"/>
    <x v="2"/>
    <s v="0704.90"/>
    <n v="294"/>
    <n v="133.35604799999999"/>
    <n v="671.41000000000008"/>
  </r>
  <r>
    <s v="MATS5386906-000"/>
    <s v="US"/>
    <x v="0"/>
    <x v="0"/>
    <x v="0"/>
    <x v="70"/>
    <s v="0704.90"/>
    <n v="60"/>
    <n v="27.215519999999998"/>
    <n v="79.72"/>
  </r>
  <r>
    <s v="MATS5386906-000"/>
    <s v="US"/>
    <x v="0"/>
    <x v="0"/>
    <x v="0"/>
    <x v="35"/>
    <s v="0704.90"/>
    <n v="1035"/>
    <n v="469.46771999999999"/>
    <n v="936.70999999999992"/>
  </r>
  <r>
    <s v="MATS5386906-000"/>
    <s v="US"/>
    <x v="0"/>
    <x v="0"/>
    <x v="0"/>
    <x v="66"/>
    <s v="0701.00"/>
    <n v="2222"/>
    <n v="1007.881424"/>
    <n v="1734.19"/>
  </r>
  <r>
    <s v="MATS5386906-000"/>
    <s v="US"/>
    <x v="0"/>
    <x v="0"/>
    <x v="0"/>
    <x v="60"/>
    <s v="0714.20"/>
    <n v="156"/>
    <n v="70.760351999999997"/>
    <n v="281.29000000000002"/>
  </r>
  <r>
    <s v="MATS5386906-000"/>
    <s v="US"/>
    <x v="0"/>
    <x v="0"/>
    <x v="0"/>
    <x v="12"/>
    <s v="0706.10"/>
    <n v="1262"/>
    <n v="572.43310399999996"/>
    <n v="38.14"/>
  </r>
  <r>
    <s v="MATS5386906-000"/>
    <s v="US"/>
    <x v="0"/>
    <x v="0"/>
    <x v="0"/>
    <x v="25"/>
    <s v="0709.93"/>
    <n v="35"/>
    <n v="15.875719999999999"/>
    <n v="38.14"/>
  </r>
  <r>
    <s v="MATS5386906-000"/>
    <s v="MX"/>
    <x v="2"/>
    <x v="2"/>
    <x v="1"/>
    <x v="25"/>
    <s v="0709.93"/>
    <n v="210"/>
    <n v="95.254319999999993"/>
    <n v="215.35"/>
  </r>
  <r>
    <s v="MATS5386906-000"/>
    <s v="US"/>
    <x v="0"/>
    <x v="0"/>
    <x v="0"/>
    <x v="0"/>
    <s v="0709.20"/>
    <n v="132"/>
    <n v="59.874144000000001"/>
    <n v="465.32"/>
  </r>
  <r>
    <s v="MATS5386906-000"/>
    <s v="US"/>
    <x v="0"/>
    <x v="0"/>
    <x v="0"/>
    <x v="47"/>
    <s v="0709.99"/>
    <n v="4"/>
    <n v="1.814368"/>
    <n v="18.37"/>
  </r>
  <r>
    <s v="MATS5386906-000"/>
    <s v="MX"/>
    <x v="2"/>
    <x v="2"/>
    <x v="1"/>
    <x v="11"/>
    <s v="0702.00"/>
    <n v="999"/>
    <n v="453.13840799999997"/>
    <n v="2024.16"/>
  </r>
  <r>
    <s v="MATS5386906-000"/>
    <s v="US"/>
    <x v="0"/>
    <x v="0"/>
    <x v="0"/>
    <x v="11"/>
    <s v="0702.00"/>
    <n v="24"/>
    <n v="10.886208"/>
    <n v="158.58000000000001"/>
  </r>
  <r>
    <s v="MATS5386906-000"/>
    <s v="US"/>
    <x v="0"/>
    <x v="0"/>
    <x v="0"/>
    <x v="39"/>
    <s v="0704.90"/>
    <n v="20"/>
    <n v="9.0718399999999999"/>
    <n v="26.53"/>
  </r>
  <r>
    <s v="MATS5386906-000"/>
    <s v="US"/>
    <x v="0"/>
    <x v="0"/>
    <x v="0"/>
    <x v="21"/>
    <s v="0709.40"/>
    <n v="228"/>
    <n v="103.418976"/>
    <n v="324.02999999999997"/>
  </r>
  <r>
    <s v="MATS5386906-000"/>
    <s v="US"/>
    <x v="0"/>
    <x v="0"/>
    <x v="0"/>
    <x v="36"/>
    <s v="0709.99"/>
    <n v="56"/>
    <n v="25.401152"/>
    <n v="151.97"/>
  </r>
  <r>
    <s v="MATS5386906-000"/>
    <s v="MX"/>
    <x v="2"/>
    <x v="2"/>
    <x v="1"/>
    <x v="16"/>
    <s v="0804.50"/>
    <n v="150"/>
    <n v="68.038799999999995"/>
    <n v="941.23"/>
  </r>
  <r>
    <s v="MATS5386906-000"/>
    <s v="US"/>
    <x v="0"/>
    <x v="0"/>
    <x v="0"/>
    <x v="23"/>
    <s v="0705.11"/>
    <n v="664"/>
    <n v="301.18508800000001"/>
    <n v="2281.7199999999998"/>
  </r>
  <r>
    <s v="MATS5386906-000"/>
    <s v="CRI"/>
    <x v="15"/>
    <x v="14"/>
    <x v="1"/>
    <x v="75"/>
    <s v="0804.30"/>
    <n v="56"/>
    <n v="25.401152"/>
    <n v="172.5"/>
  </r>
  <r>
    <s v="MATS5386906-000"/>
    <s v="MX"/>
    <x v="2"/>
    <x v="2"/>
    <x v="1"/>
    <x v="24"/>
    <s v="0709.60"/>
    <n v="388"/>
    <n v="175.993696"/>
    <n v="1665.62"/>
  </r>
  <r>
    <s v="MATS5386906-000"/>
    <s v="MX"/>
    <x v="2"/>
    <x v="2"/>
    <x v="1"/>
    <x v="24"/>
    <s v="0709.60"/>
    <n v="80"/>
    <n v="36.28736"/>
    <n v="134.58000000000001"/>
  </r>
  <r>
    <s v="MATS5386906-000"/>
    <s v="MX"/>
    <x v="2"/>
    <x v="2"/>
    <x v="1"/>
    <x v="27"/>
    <s v="0804.40"/>
    <n v="144"/>
    <n v="65.317248000000006"/>
    <n v="605.94000000000005"/>
  </r>
  <r>
    <s v="MATS5386906-000"/>
    <s v="US"/>
    <x v="0"/>
    <x v="0"/>
    <x v="0"/>
    <x v="61"/>
    <s v="0805.21"/>
    <n v="1620"/>
    <n v="734.81903999999997"/>
    <n v="2507.8200000000002"/>
  </r>
  <r>
    <s v="MATS5386906-000"/>
    <s v="US"/>
    <x v="0"/>
    <x v="0"/>
    <x v="0"/>
    <x v="33"/>
    <s v="0704.10"/>
    <n v="120"/>
    <n v="54.431039999999996"/>
    <n v="152.51"/>
  </r>
  <r>
    <s v="MATS5386906-000"/>
    <s v="CHN"/>
    <x v="13"/>
    <x v="8"/>
    <x v="1"/>
    <x v="43"/>
    <s v="0703.20"/>
    <n v="15"/>
    <n v="6.8038799999999995"/>
    <n v="575.54999999999995"/>
  </r>
  <r>
    <s v="MATS5386906-000"/>
    <s v="US"/>
    <x v="0"/>
    <x v="0"/>
    <x v="0"/>
    <x v="67"/>
    <s v="0805.40"/>
    <n v="120"/>
    <n v="54.431039999999996"/>
    <n v="199.42"/>
  </r>
  <r>
    <s v="MATS5386906-000"/>
    <s v="US"/>
    <x v="0"/>
    <x v="0"/>
    <x v="0"/>
    <x v="24"/>
    <s v="0709.60"/>
    <n v="100"/>
    <n v="45.359200000000001"/>
    <n v="320.3"/>
  </r>
  <r>
    <s v="MATS5386906-000"/>
    <s v="US"/>
    <x v="0"/>
    <x v="0"/>
    <x v="0"/>
    <x v="72"/>
    <s v="0808.30"/>
    <n v="144"/>
    <n v="65.317248000000006"/>
    <n v="229.36"/>
  </r>
  <r>
    <s v="MATS5386906-000"/>
    <s v="MX"/>
    <x v="2"/>
    <x v="2"/>
    <x v="1"/>
    <x v="43"/>
    <s v="0703.20"/>
    <n v="24"/>
    <n v="10.886208"/>
    <n v="48.61"/>
  </r>
  <r>
    <s v="MATS5386906-000"/>
    <s v="US"/>
    <x v="0"/>
    <x v="0"/>
    <x v="0"/>
    <x v="106"/>
    <s v="0809.10"/>
    <n v="144"/>
    <n v="65.317248000000006"/>
    <n v="322.77999999999997"/>
  </r>
  <r>
    <s v="MATS9186594-000"/>
    <s v="US"/>
    <x v="0"/>
    <x v="0"/>
    <x v="0"/>
    <x v="57"/>
    <s v="0808.10"/>
    <n v="2328"/>
    <n v="1055.962176"/>
    <n v="2621.95"/>
  </r>
  <r>
    <s v="MATS9186594-000"/>
    <s v="US"/>
    <x v="0"/>
    <x v="0"/>
    <x v="0"/>
    <x v="57"/>
    <s v="0808.10"/>
    <n v="228"/>
    <n v="103.418976"/>
    <n v="264.83"/>
  </r>
  <r>
    <s v="MATS9186594-000"/>
    <s v="MX"/>
    <x v="2"/>
    <x v="2"/>
    <x v="1"/>
    <x v="69"/>
    <s v="0805.50"/>
    <n v="102"/>
    <n v="46.266384000000002"/>
    <n v="147.84"/>
  </r>
  <r>
    <s v="MATS9186594-000"/>
    <s v="CL"/>
    <x v="11"/>
    <x v="11"/>
    <x v="1"/>
    <x v="29"/>
    <s v="0806.10"/>
    <n v="1728"/>
    <n v="783.80697599999996"/>
    <n v="4927.4799999999996"/>
  </r>
  <r>
    <s v="MATS9186594-000"/>
    <s v="US"/>
    <x v="0"/>
    <x v="0"/>
    <x v="0"/>
    <x v="76"/>
    <s v="0807.11"/>
    <n v="3500"/>
    <n v="1587.5719999999999"/>
    <n v="2276.0500000000002"/>
  </r>
  <r>
    <s v="MATS9186594-000"/>
    <s v="US"/>
    <x v="0"/>
    <x v="0"/>
    <x v="0"/>
    <x v="73"/>
    <s v="0807.19"/>
    <n v="245"/>
    <n v="111.13003999999999"/>
    <n v="196.86"/>
  </r>
  <r>
    <s v="MATS9186594-000"/>
    <s v="US"/>
    <x v="0"/>
    <x v="0"/>
    <x v="0"/>
    <x v="64"/>
    <s v="0805.50"/>
    <n v="357"/>
    <n v="161.932344"/>
    <n v="566.31999999999994"/>
  </r>
  <r>
    <s v="MATS9186594-000"/>
    <s v="MX"/>
    <x v="2"/>
    <x v="2"/>
    <x v="1"/>
    <x v="64"/>
    <s v="0805.50"/>
    <n v="72"/>
    <n v="32.658624000000003"/>
    <n v="95.15"/>
  </r>
  <r>
    <s v="MATS9186594-000"/>
    <s v="CL"/>
    <x v="11"/>
    <x v="11"/>
    <x v="1"/>
    <x v="72"/>
    <s v="0808.30"/>
    <n v="40"/>
    <n v="18.14368"/>
    <n v="63.92"/>
  </r>
  <r>
    <s v="MATS9186594-000"/>
    <s v="US"/>
    <x v="0"/>
    <x v="0"/>
    <x v="0"/>
    <x v="72"/>
    <s v="0808.30"/>
    <n v="140"/>
    <n v="63.502879999999998"/>
    <n v="221.82999999999998"/>
  </r>
  <r>
    <s v="MATS9186594-000"/>
    <s v="MX"/>
    <x v="2"/>
    <x v="2"/>
    <x v="1"/>
    <x v="3"/>
    <s v="0704.20"/>
    <n v="25"/>
    <n v="11.3398"/>
    <n v="38.54"/>
  </r>
  <r>
    <s v="MATS9186594-000"/>
    <s v="CHN"/>
    <x v="13"/>
    <x v="8"/>
    <x v="1"/>
    <x v="77"/>
    <s v="0910.11"/>
    <n v="150"/>
    <n v="68.038799999999995"/>
    <n v="325.12"/>
  </r>
  <r>
    <s v="MATS9186594-000"/>
    <s v="US"/>
    <x v="0"/>
    <x v="0"/>
    <x v="0"/>
    <x v="32"/>
    <s v="0703.10"/>
    <n v="2694"/>
    <n v="1221.976848"/>
    <n v="7773.54"/>
  </r>
  <r>
    <s v="MATS9186594-000"/>
    <s v="US"/>
    <x v="0"/>
    <x v="0"/>
    <x v="0"/>
    <x v="47"/>
    <s v="0709.99"/>
    <n v="4"/>
    <n v="1.814368"/>
    <n v="19.27"/>
  </r>
  <r>
    <s v="MATS9186594-000"/>
    <s v="US"/>
    <x v="0"/>
    <x v="0"/>
    <x v="0"/>
    <x v="58"/>
    <s v="0706.90"/>
    <n v="25"/>
    <n v="11.3398"/>
    <n v="35.229999999999997"/>
  </r>
  <r>
    <s v="MATS9186594-000"/>
    <s v="US"/>
    <x v="0"/>
    <x v="0"/>
    <x v="0"/>
    <x v="2"/>
    <s v="0704.90"/>
    <n v="276"/>
    <n v="125.19139199999999"/>
    <n v="475.33000000000004"/>
  </r>
  <r>
    <s v="MATS9186594-000"/>
    <s v="US"/>
    <x v="0"/>
    <x v="0"/>
    <x v="0"/>
    <x v="70"/>
    <s v="0704.90"/>
    <n v="60"/>
    <n v="27.215519999999998"/>
    <n v="79.72"/>
  </r>
  <r>
    <s v="MATS9186594-000"/>
    <s v="US"/>
    <x v="0"/>
    <x v="0"/>
    <x v="0"/>
    <x v="35"/>
    <s v="0704.90"/>
    <n v="1115"/>
    <n v="505.75508000000002"/>
    <n v="1219.6399999999999"/>
  </r>
  <r>
    <s v="MATS9186594-000"/>
    <s v="US"/>
    <x v="0"/>
    <x v="0"/>
    <x v="0"/>
    <x v="66"/>
    <s v="0701.00"/>
    <n v="3600"/>
    <n v="1632.9312"/>
    <n v="2655.8599999999997"/>
  </r>
  <r>
    <s v="MATS9186594-000"/>
    <s v="US"/>
    <x v="0"/>
    <x v="0"/>
    <x v="0"/>
    <x v="60"/>
    <s v="0714.20"/>
    <n v="260"/>
    <n v="117.93392"/>
    <n v="481.76"/>
  </r>
  <r>
    <s v="MATS9186594-000"/>
    <s v="US"/>
    <x v="0"/>
    <x v="0"/>
    <x v="0"/>
    <x v="12"/>
    <s v="0706.10"/>
    <n v="480"/>
    <n v="217.72415999999998"/>
    <n v="552.06999999999994"/>
  </r>
  <r>
    <s v="MATS9186594-000"/>
    <s v="MX"/>
    <x v="2"/>
    <x v="2"/>
    <x v="1"/>
    <x v="11"/>
    <s v="0702.00"/>
    <n v="429"/>
    <n v="194.590968"/>
    <n v="850.84"/>
  </r>
  <r>
    <s v="MATS9186594-000"/>
    <s v="US"/>
    <x v="0"/>
    <x v="0"/>
    <x v="0"/>
    <x v="11"/>
    <s v="0702.00"/>
    <n v="12"/>
    <n v="5.4431039999999999"/>
    <n v="79.290000000000006"/>
  </r>
  <r>
    <s v="MATS9186594-000"/>
    <s v="MX"/>
    <x v="2"/>
    <x v="2"/>
    <x v="1"/>
    <x v="25"/>
    <s v="0709.93"/>
    <n v="140"/>
    <n v="63.502879999999998"/>
    <n v="154.63"/>
  </r>
  <r>
    <s v="MATS9186594-000"/>
    <s v="US"/>
    <x v="0"/>
    <x v="0"/>
    <x v="0"/>
    <x v="36"/>
    <s v="0709.99"/>
    <n v="12"/>
    <n v="5.4431039999999999"/>
    <n v="60.98"/>
  </r>
  <r>
    <s v="MATS9186594-000"/>
    <s v="US"/>
    <x v="0"/>
    <x v="0"/>
    <x v="0"/>
    <x v="23"/>
    <s v="0705.11"/>
    <n v="442"/>
    <n v="200.487664"/>
    <n v="1445.93"/>
  </r>
  <r>
    <s v="MATS9186594-000"/>
    <s v="MX"/>
    <x v="2"/>
    <x v="2"/>
    <x v="1"/>
    <x v="27"/>
    <s v="0804.40"/>
    <n v="205"/>
    <n v="92.986360000000005"/>
    <n v="681.69"/>
  </r>
  <r>
    <s v="MATS9186594-000"/>
    <s v="US"/>
    <x v="0"/>
    <x v="0"/>
    <x v="0"/>
    <x v="61"/>
    <s v="0805.21"/>
    <n v="1920"/>
    <n v="870.89663999999993"/>
    <n v="4508.24"/>
  </r>
  <r>
    <s v="MATS9186594-000"/>
    <s v="CRI"/>
    <x v="15"/>
    <x v="14"/>
    <x v="1"/>
    <x v="75"/>
    <s v="0804.30"/>
    <n v="3"/>
    <n v="1.360776"/>
    <n v="258.75"/>
  </r>
  <r>
    <s v="MATS9186594-000"/>
    <s v="MX"/>
    <x v="2"/>
    <x v="2"/>
    <x v="1"/>
    <x v="24"/>
    <s v="0709.60"/>
    <n v="204"/>
    <n v="92.532768000000004"/>
    <n v="827.35"/>
  </r>
  <r>
    <s v="MATS9186594-000"/>
    <s v="MX"/>
    <x v="2"/>
    <x v="2"/>
    <x v="1"/>
    <x v="24"/>
    <s v="0709.60"/>
    <n v="100"/>
    <n v="45.359200000000001"/>
    <n v="171.22000000000003"/>
  </r>
  <r>
    <s v="MATS9186594-000"/>
    <s v="US"/>
    <x v="0"/>
    <x v="0"/>
    <x v="0"/>
    <x v="33"/>
    <s v="0704.10"/>
    <n v="48"/>
    <n v="21.772416"/>
    <n v="102.33"/>
  </r>
  <r>
    <s v="MATS9186594-000"/>
    <s v="US"/>
    <x v="0"/>
    <x v="0"/>
    <x v="0"/>
    <x v="10"/>
    <s v="0709.51"/>
    <n v="12"/>
    <n v="5.4431039999999999"/>
    <n v="20.69"/>
  </r>
  <r>
    <s v="MATS9186594-000"/>
    <s v="US"/>
    <x v="0"/>
    <x v="0"/>
    <x v="0"/>
    <x v="105"/>
    <s v="0809.30"/>
    <n v="144"/>
    <n v="65.317248000000006"/>
    <n v="349.6"/>
  </r>
  <r>
    <s v="MATS9186594-000"/>
    <s v="CHN"/>
    <x v="13"/>
    <x v="8"/>
    <x v="1"/>
    <x v="43"/>
    <s v="0703.20"/>
    <n v="385"/>
    <n v="174.63291999999998"/>
    <n v="671.47"/>
  </r>
  <r>
    <s v="MATS9186594-000"/>
    <s v="US"/>
    <x v="0"/>
    <x v="0"/>
    <x v="0"/>
    <x v="65"/>
    <s v="0810.50"/>
    <n v="300"/>
    <n v="136.07759999999999"/>
    <n v="774.67"/>
  </r>
  <r>
    <s v="MATS9186594-000"/>
    <s v="US"/>
    <x v="0"/>
    <x v="0"/>
    <x v="0"/>
    <x v="24"/>
    <s v="0709.60"/>
    <n v="132"/>
    <n v="59.874144000000001"/>
    <n v="476.47"/>
  </r>
  <r>
    <s v="MATS9186594-000"/>
    <s v="US"/>
    <x v="0"/>
    <x v="0"/>
    <x v="0"/>
    <x v="67"/>
    <s v="0805.40"/>
    <n v="80"/>
    <n v="36.28736"/>
    <n v="149.57"/>
  </r>
  <r>
    <s v="MATS9186594-000"/>
    <s v="MX"/>
    <x v="2"/>
    <x v="2"/>
    <x v="1"/>
    <x v="36"/>
    <s v="0709.99"/>
    <n v="24"/>
    <n v="10.886208"/>
    <n v="188.23"/>
  </r>
  <r>
    <s v="MATS9186594-000"/>
    <s v="US"/>
    <x v="0"/>
    <x v="0"/>
    <x v="0"/>
    <x v="21"/>
    <s v="0709.40"/>
    <n v="30"/>
    <n v="13.607759999999999"/>
    <n v="35.35"/>
  </r>
  <r>
    <s v="MATS9186594-000"/>
    <s v="MX"/>
    <x v="2"/>
    <x v="2"/>
    <x v="1"/>
    <x v="43"/>
    <s v="0703.20"/>
    <n v="24"/>
    <n v="10.886208"/>
    <n v="48.61"/>
  </r>
  <r>
    <s v="MATS9186594-000"/>
    <s v="US"/>
    <x v="0"/>
    <x v="0"/>
    <x v="0"/>
    <x v="106"/>
    <s v="0809.10"/>
    <n v="126"/>
    <n v="57.152591999999999"/>
    <n v="282.44"/>
  </r>
  <r>
    <s v="016SFO27930884"/>
    <s v="MX"/>
    <x v="2"/>
    <x v="2"/>
    <x v="1"/>
    <x v="27"/>
    <s v="0804.40"/>
    <n v="125"/>
    <n v="56.698999999999998"/>
    <n v="282.5"/>
  </r>
  <r>
    <s v="016SFO27930884"/>
    <s v="US,CAL"/>
    <x v="0"/>
    <x v="0"/>
    <x v="0"/>
    <x v="12"/>
    <s v="0706.10"/>
    <n v="150"/>
    <n v="68.038799999999995"/>
    <n v="152.5"/>
  </r>
  <r>
    <s v="016SFO27930884"/>
    <s v="US, CAL"/>
    <x v="0"/>
    <x v="0"/>
    <x v="0"/>
    <x v="33"/>
    <s v="0704.10"/>
    <n v="100"/>
    <n v="45.359200000000001"/>
    <n v="96"/>
  </r>
  <r>
    <s v="016SFO27930884"/>
    <s v="MX"/>
    <x v="2"/>
    <x v="2"/>
    <x v="1"/>
    <x v="3"/>
    <s v="0704.20"/>
    <n v="400"/>
    <n v="181.43680000000001"/>
    <n v="336"/>
  </r>
  <r>
    <s v="016SFO27930884"/>
    <s v="US, CAL"/>
    <x v="0"/>
    <x v="0"/>
    <x v="0"/>
    <x v="29"/>
    <s v="0806.10"/>
    <n v="57"/>
    <n v="25.854744"/>
    <n v="1226.5"/>
  </r>
  <r>
    <s v="016SFO27930884"/>
    <s v="US, CAL"/>
    <x v="0"/>
    <x v="0"/>
    <x v="0"/>
    <x v="23"/>
    <s v="0705.11"/>
    <n v="920"/>
    <n v="417.30464000000001"/>
    <n v="527.20000000000005"/>
  </r>
  <r>
    <s v="016SFO27930884"/>
    <s v="US, CAL"/>
    <x v="0"/>
    <x v="0"/>
    <x v="0"/>
    <x v="24"/>
    <s v="0709.60"/>
    <n v="364"/>
    <n v="165.10748799999999"/>
    <n v="449.95"/>
  </r>
  <r>
    <s v="016SFO27930884"/>
    <s v="MX"/>
    <x v="2"/>
    <x v="2"/>
    <x v="1"/>
    <x v="20"/>
    <s v="0706.90"/>
    <n v="25"/>
    <n v="11.3398"/>
    <n v="21.5"/>
  </r>
  <r>
    <s v="016SFO27930884"/>
    <s v="US, CAL"/>
    <x v="0"/>
    <x v="0"/>
    <x v="0"/>
    <x v="70"/>
    <s v="0704.90"/>
    <n v="30"/>
    <n v="13.607759999999999"/>
    <n v="35.5"/>
  </r>
  <r>
    <s v="016SFO27930884"/>
    <s v="MX"/>
    <x v="2"/>
    <x v="2"/>
    <x v="1"/>
    <x v="22"/>
    <s v="0703.90"/>
    <n v="44"/>
    <n v="19.958047999999998"/>
    <n v="96"/>
  </r>
  <r>
    <s v="016SFO27930884"/>
    <s v="MX"/>
    <x v="2"/>
    <x v="2"/>
    <x v="1"/>
    <x v="40"/>
    <s v="0810.20"/>
    <n v="94.5"/>
    <n v="42.864443999999999"/>
    <n v="1050"/>
  </r>
  <r>
    <s v="016SFO27930884"/>
    <s v="US, CAL"/>
    <x v="0"/>
    <x v="0"/>
    <x v="0"/>
    <x v="2"/>
    <s v="0704.90"/>
    <n v="12"/>
    <n v="5.4431039999999999"/>
    <n v="31.5"/>
  </r>
  <r>
    <s v="016SFO27930884"/>
    <s v="US, CAL"/>
    <x v="0"/>
    <x v="0"/>
    <x v="0"/>
    <x v="36"/>
    <s v="0709.99"/>
    <n v="25"/>
    <n v="11.3398"/>
    <n v="49"/>
  </r>
  <r>
    <s v="016SFO27930884"/>
    <s v="US, CAL"/>
    <x v="0"/>
    <x v="0"/>
    <x v="0"/>
    <x v="37"/>
    <s v="0709.30"/>
    <n v="50"/>
    <n v="22.679600000000001"/>
    <n v="71"/>
  </r>
  <r>
    <s v="016SFO27930884"/>
    <s v="US, HI"/>
    <x v="0"/>
    <x v="0"/>
    <x v="0"/>
    <x v="30"/>
    <s v="0807.20"/>
    <n v="60"/>
    <n v="27.215519999999998"/>
    <n v="252"/>
  </r>
  <r>
    <s v="016SFO27930884"/>
    <s v="US, CAL"/>
    <x v="0"/>
    <x v="0"/>
    <x v="0"/>
    <x v="1"/>
    <s v="0708.20"/>
    <n v="40"/>
    <n v="18.14368"/>
    <n v="40.299999999999997"/>
  </r>
  <r>
    <s v="016SFO27930884"/>
    <s v="US, CAL"/>
    <x v="0"/>
    <x v="0"/>
    <x v="0"/>
    <x v="1"/>
    <s v="0708.20"/>
    <n v="28"/>
    <n v="12.700576"/>
    <n v="54.9"/>
  </r>
  <r>
    <s v="016SFO27930884"/>
    <s v="US, CAL"/>
    <x v="0"/>
    <x v="0"/>
    <x v="0"/>
    <x v="28"/>
    <s v="0810.20"/>
    <n v="112.5"/>
    <n v="51.0291"/>
    <n v="1326.25"/>
  </r>
  <r>
    <s v="016SFO27930884"/>
    <s v="US, CAL"/>
    <x v="0"/>
    <x v="0"/>
    <x v="0"/>
    <x v="21"/>
    <s v="0709.40"/>
    <n v="110"/>
    <n v="49.895119999999999"/>
    <n v="50.9"/>
  </r>
  <r>
    <s v="016SFO27930884"/>
    <s v="US, CAL"/>
    <x v="0"/>
    <x v="0"/>
    <x v="0"/>
    <x v="39"/>
    <s v="0704.90"/>
    <n v="20"/>
    <n v="9.0718399999999999"/>
    <n v="18.95"/>
  </r>
  <r>
    <s v="016SFO27930884"/>
    <s v="CAN"/>
    <x v="16"/>
    <x v="3"/>
    <x v="1"/>
    <x v="10"/>
    <s v="0709.51"/>
    <n v="60"/>
    <n v="27.215519999999998"/>
    <n v="201.3"/>
  </r>
  <r>
    <s v="016SFO27930884"/>
    <s v="US, CAL"/>
    <x v="0"/>
    <x v="0"/>
    <x v="0"/>
    <x v="24"/>
    <s v="0709.60"/>
    <n v="72"/>
    <n v="32.658624000000003"/>
    <n v="61"/>
  </r>
  <r>
    <s v="016SFO27930884"/>
    <s v="MX"/>
    <x v="2"/>
    <x v="2"/>
    <x v="1"/>
    <x v="25"/>
    <s v="0709.93"/>
    <n v="66"/>
    <n v="29.937072000000001"/>
    <n v="49.5"/>
  </r>
  <r>
    <s v="016SFO27930884"/>
    <s v="US, CAL"/>
    <x v="0"/>
    <x v="0"/>
    <x v="0"/>
    <x v="26"/>
    <s v="0810.10"/>
    <n v="224"/>
    <n v="101.604608"/>
    <n v="751.8"/>
  </r>
  <r>
    <s v="016SFO27930884"/>
    <s v="MX"/>
    <x v="2"/>
    <x v="2"/>
    <x v="1"/>
    <x v="11"/>
    <s v="0702.00"/>
    <n v="377"/>
    <n v="171.00418400000001"/>
    <n v="507.5"/>
  </r>
  <r>
    <s v="016SFO27930862"/>
    <s v="US, CAL"/>
    <x v="0"/>
    <x v="0"/>
    <x v="0"/>
    <x v="1"/>
    <s v="0708.20"/>
    <n v="40"/>
    <n v="18.14368"/>
    <n v="40.299999999999997"/>
  </r>
  <r>
    <s v="016SFO27930862"/>
    <s v="US, CAL"/>
    <x v="0"/>
    <x v="0"/>
    <x v="0"/>
    <x v="33"/>
    <s v="0704.10"/>
    <n v="350"/>
    <n v="158.75720000000001"/>
    <n v="390.6"/>
  </r>
  <r>
    <s v="016SFO27930862"/>
    <s v="US, CAL"/>
    <x v="0"/>
    <x v="0"/>
    <x v="0"/>
    <x v="21"/>
    <s v="0709.40"/>
    <n v="330"/>
    <n v="149.68536"/>
    <n v="149.1"/>
  </r>
  <r>
    <s v="016SFO27930862"/>
    <s v="US, CAL"/>
    <x v="0"/>
    <x v="0"/>
    <x v="0"/>
    <x v="22"/>
    <s v="0703.90"/>
    <n v="18"/>
    <n v="8.1646560000000008"/>
    <n v="28.05"/>
  </r>
  <r>
    <s v="016SFO27930862"/>
    <s v="US, CAL"/>
    <x v="0"/>
    <x v="0"/>
    <x v="0"/>
    <x v="23"/>
    <s v="0705.11"/>
    <n v="1175"/>
    <n v="532.97059999999999"/>
    <n v="782.9"/>
  </r>
  <r>
    <s v="016SFO27930862"/>
    <s v="US, CAL"/>
    <x v="0"/>
    <x v="0"/>
    <x v="0"/>
    <x v="39"/>
    <s v="0704.90"/>
    <n v="40"/>
    <n v="18.14368"/>
    <n v="37.9"/>
  </r>
  <r>
    <s v="016SFO27930862"/>
    <s v="MX"/>
    <x v="2"/>
    <x v="2"/>
    <x v="1"/>
    <x v="16"/>
    <s v="0804.50"/>
    <n v="320"/>
    <n v="145.14944"/>
    <n v="392"/>
  </r>
  <r>
    <s v="016SFO27930862"/>
    <s v="MX"/>
    <x v="2"/>
    <x v="2"/>
    <x v="1"/>
    <x v="22"/>
    <s v="0703.90"/>
    <n v="72"/>
    <n v="32.658624000000003"/>
    <n v="127"/>
  </r>
  <r>
    <s v="016SFO27930862"/>
    <s v="US, CAL"/>
    <x v="0"/>
    <x v="0"/>
    <x v="0"/>
    <x v="24"/>
    <s v="0709.60"/>
    <n v="657"/>
    <n v="298.00994400000002"/>
    <n v="867.3"/>
  </r>
  <r>
    <s v="016SFO27930862"/>
    <s v="US, CAL"/>
    <x v="0"/>
    <x v="0"/>
    <x v="0"/>
    <x v="25"/>
    <s v="0709.93"/>
    <n v="88"/>
    <n v="39.916095999999996"/>
    <n v="66"/>
  </r>
  <r>
    <s v="016SFO27930862"/>
    <s v="US, CAL"/>
    <x v="0"/>
    <x v="0"/>
    <x v="0"/>
    <x v="26"/>
    <s v="0810.10"/>
    <n v="264"/>
    <n v="119.748288"/>
    <n v="846.45"/>
  </r>
  <r>
    <s v="016SFO27930862"/>
    <s v="MX"/>
    <x v="2"/>
    <x v="2"/>
    <x v="1"/>
    <x v="11"/>
    <s v="0702.00"/>
    <n v="750"/>
    <n v="340.19400000000002"/>
    <n v="1058.95"/>
  </r>
  <r>
    <s v="016SFO27930862"/>
    <s v="MX"/>
    <x v="2"/>
    <x v="2"/>
    <x v="1"/>
    <x v="27"/>
    <s v="0804.40"/>
    <n v="250"/>
    <n v="113.398"/>
    <n v="535"/>
  </r>
  <r>
    <s v="016SFO27930862"/>
    <s v="US, CAL"/>
    <x v="0"/>
    <x v="0"/>
    <x v="0"/>
    <x v="28"/>
    <s v="0810.20"/>
    <n v="94.5"/>
    <n v="42.864443999999999"/>
    <n v="766.5"/>
  </r>
  <r>
    <s v="016SFO27930862"/>
    <s v="US, CAL"/>
    <x v="0"/>
    <x v="0"/>
    <x v="0"/>
    <x v="70"/>
    <s v="0704.90"/>
    <n v="120"/>
    <n v="54.431039999999996"/>
    <n v="160"/>
  </r>
  <r>
    <s v="016SFO27930862"/>
    <s v="US, CAL"/>
    <x v="0"/>
    <x v="0"/>
    <x v="0"/>
    <x v="29"/>
    <s v="0806.10"/>
    <n v="855"/>
    <n v="387.82116000000002"/>
    <n v="1592.75"/>
  </r>
  <r>
    <s v="016SFO27930862"/>
    <s v="CAN"/>
    <x v="16"/>
    <x v="3"/>
    <x v="1"/>
    <x v="10"/>
    <s v="0709.51"/>
    <n v="60"/>
    <n v="27.215519999999998"/>
    <n v="192"/>
  </r>
  <r>
    <s v="016SFO27930862"/>
    <s v="US, HI"/>
    <x v="0"/>
    <x v="0"/>
    <x v="0"/>
    <x v="30"/>
    <s v="0807.20"/>
    <n v="40"/>
    <n v="18.14368"/>
    <n v="160"/>
  </r>
  <r>
    <s v="016SFO27930862"/>
    <s v="US, CAL"/>
    <x v="0"/>
    <x v="0"/>
    <x v="0"/>
    <x v="31"/>
    <s v="0810.20"/>
    <n v="22.5"/>
    <n v="10.205819999999999"/>
    <n v="200"/>
  </r>
  <r>
    <s v="016SFO27930862"/>
    <s v="US, CAL"/>
    <x v="0"/>
    <x v="0"/>
    <x v="0"/>
    <x v="12"/>
    <s v="0706.10"/>
    <n v="240"/>
    <n v="108.86207999999999"/>
    <n v="240"/>
  </r>
  <r>
    <s v="016SFO27930862"/>
    <s v="MX"/>
    <x v="2"/>
    <x v="2"/>
    <x v="1"/>
    <x v="20"/>
    <s v="0706.90"/>
    <n v="25"/>
    <n v="11.3398"/>
    <n v="21"/>
  </r>
  <r>
    <s v="016LAX95121655"/>
    <s v="US"/>
    <x v="0"/>
    <x v="0"/>
    <x v="0"/>
    <x v="0"/>
    <s v="0709.20"/>
    <n v="37"/>
    <n v="16.782903999999998"/>
    <n v="163.9"/>
  </r>
  <r>
    <s v="016LAX95121655"/>
    <s v="US"/>
    <x v="0"/>
    <x v="0"/>
    <x v="0"/>
    <x v="2"/>
    <s v="0704.90"/>
    <n v="133"/>
    <n v="60.327736000000002"/>
    <n v="229.67000000000002"/>
  </r>
  <r>
    <s v="016LAX95121655"/>
    <s v="MX"/>
    <x v="2"/>
    <x v="2"/>
    <x v="1"/>
    <x v="15"/>
    <s v="0709.99"/>
    <n v="10"/>
    <n v="4.53592"/>
    <n v="18.82"/>
  </r>
  <r>
    <s v="016LAX95121655"/>
    <s v="MX"/>
    <x v="2"/>
    <x v="2"/>
    <x v="1"/>
    <x v="16"/>
    <s v="0804.50"/>
    <n v="240"/>
    <n v="108.86207999999999"/>
    <n v="317.64999999999998"/>
  </r>
  <r>
    <s v="016LAX95121655"/>
    <s v="US"/>
    <x v="0"/>
    <x v="0"/>
    <x v="0"/>
    <x v="17"/>
    <s v="0709.70"/>
    <n v="100"/>
    <n v="45.359200000000001"/>
    <n v="134.12"/>
  </r>
  <r>
    <s v="016LAX95121655"/>
    <s v="US"/>
    <x v="0"/>
    <x v="0"/>
    <x v="0"/>
    <x v="18"/>
    <s v="0706.10"/>
    <n v="27"/>
    <n v="12.246983999999999"/>
    <n v="24.71"/>
  </r>
  <r>
    <s v="016LAX95121655"/>
    <s v="US"/>
    <x v="0"/>
    <x v="0"/>
    <x v="0"/>
    <x v="52"/>
    <s v="0603.13"/>
    <n v="36"/>
    <n v="16.329312000000002"/>
    <n v="580.29999999999995"/>
  </r>
  <r>
    <s v="016LAX95121655"/>
    <s v="US"/>
    <x v="0"/>
    <x v="0"/>
    <x v="0"/>
    <x v="108"/>
    <s v="0709.99"/>
    <n v="2"/>
    <n v="0.90718399999999999"/>
    <n v="14"/>
  </r>
  <r>
    <s v="016LAX95121655"/>
    <s v="US"/>
    <x v="0"/>
    <x v="0"/>
    <x v="0"/>
    <x v="13"/>
    <s v="0709.99"/>
    <n v="3"/>
    <n v="1.360776"/>
    <n v="16.8"/>
  </r>
  <r>
    <s v="016LAX95121655"/>
    <s v="US"/>
    <x v="0"/>
    <x v="0"/>
    <x v="0"/>
    <x v="9"/>
    <s v="0709.99"/>
    <n v="1"/>
    <n v="0.453592"/>
    <n v="11.2"/>
  </r>
  <r>
    <s v="016LAX95121655"/>
    <s v="US"/>
    <x v="0"/>
    <x v="0"/>
    <x v="0"/>
    <x v="87"/>
    <s v="0709.99"/>
    <n v="2"/>
    <n v="0.90718399999999999"/>
    <n v="40.6"/>
  </r>
  <r>
    <s v="016LAX95121655"/>
    <s v="US"/>
    <x v="0"/>
    <x v="0"/>
    <x v="0"/>
    <x v="12"/>
    <s v="0706.10"/>
    <n v="12"/>
    <n v="5.4431039999999999"/>
    <n v="207.2"/>
  </r>
  <r>
    <s v="016LAX95121655"/>
    <s v="US"/>
    <x v="0"/>
    <x v="0"/>
    <x v="0"/>
    <x v="11"/>
    <s v="0702.00"/>
    <n v="9"/>
    <n v="4.0823280000000004"/>
    <n v="397.59999999999997"/>
  </r>
  <r>
    <s v="016LAX95121655"/>
    <s v="US"/>
    <x v="0"/>
    <x v="0"/>
    <x v="0"/>
    <x v="46"/>
    <s v="0709.99"/>
    <n v="1"/>
    <n v="0.453592"/>
    <n v="18.2"/>
  </r>
  <r>
    <s v="016LAX95121655"/>
    <s v="US"/>
    <x v="0"/>
    <x v="0"/>
    <x v="0"/>
    <x v="10"/>
    <s v="0709.51"/>
    <n v="2"/>
    <n v="0.90718399999999999"/>
    <n v="154"/>
  </r>
  <r>
    <s v="016LAX95121655"/>
    <s v="US"/>
    <x v="0"/>
    <x v="0"/>
    <x v="0"/>
    <x v="41"/>
    <s v="0705.29"/>
    <n v="1"/>
    <n v="0.453592"/>
    <n v="36.4"/>
  </r>
  <r>
    <s v="016LAX95121655"/>
    <s v="US"/>
    <x v="0"/>
    <x v="0"/>
    <x v="0"/>
    <x v="20"/>
    <s v="0706.90"/>
    <n v="1"/>
    <n v="0.453592"/>
    <n v="28"/>
  </r>
  <r>
    <s v="016LAX95121655"/>
    <s v="US"/>
    <x v="0"/>
    <x v="0"/>
    <x v="0"/>
    <x v="8"/>
    <s v="0703.90"/>
    <n v="2"/>
    <n v="0.90718399999999999"/>
    <n v="25.2"/>
  </r>
  <r>
    <s v="016LAX95121633"/>
    <s v="US"/>
    <x v="0"/>
    <x v="0"/>
    <x v="0"/>
    <x v="0"/>
    <s v="0709.20"/>
    <n v="106"/>
    <n v="48.080751999999997"/>
    <n v="529.76"/>
  </r>
  <r>
    <s v="016LAX95121633"/>
    <s v="US"/>
    <x v="0"/>
    <x v="0"/>
    <x v="0"/>
    <x v="1"/>
    <s v="0708.20"/>
    <n v="32"/>
    <n v="14.514944"/>
    <n v="43.77"/>
  </r>
  <r>
    <s v="016LAX95121633"/>
    <s v="UY"/>
    <x v="1"/>
    <x v="1"/>
    <x v="1"/>
    <x v="40"/>
    <s v="0810.20"/>
    <n v="143"/>
    <n v="64.863656000000006"/>
    <n v="1009.36"/>
  </r>
  <r>
    <s v="016LAX95121633"/>
    <s v="US"/>
    <x v="0"/>
    <x v="0"/>
    <x v="0"/>
    <x v="2"/>
    <s v="0704.90"/>
    <n v="406"/>
    <n v="184.15835200000001"/>
    <n v="570.58000000000004"/>
  </r>
  <r>
    <s v="016LAX95121633"/>
    <s v="US"/>
    <x v="0"/>
    <x v="0"/>
    <x v="0"/>
    <x v="3"/>
    <s v="0704.20"/>
    <n v="54"/>
    <n v="24.493967999999999"/>
    <n v="73.53"/>
  </r>
  <r>
    <s v="016LAX95121633"/>
    <s v="US"/>
    <x v="0"/>
    <x v="0"/>
    <x v="0"/>
    <x v="15"/>
    <s v="0709.99"/>
    <n v="10"/>
    <n v="4.53592"/>
    <n v="18.82"/>
  </r>
  <r>
    <s v="016LAX95121633"/>
    <s v="US"/>
    <x v="0"/>
    <x v="0"/>
    <x v="0"/>
    <x v="4"/>
    <s v="0707.00"/>
    <n v="936"/>
    <n v="424.56211200000001"/>
    <n v="847.06"/>
  </r>
  <r>
    <s v="016LAX95121633"/>
    <s v="US"/>
    <x v="0"/>
    <x v="0"/>
    <x v="0"/>
    <x v="17"/>
    <s v="0709.70"/>
    <n v="180"/>
    <n v="81.646559999999994"/>
    <n v="241.41"/>
  </r>
  <r>
    <s v="016LAX95121633"/>
    <s v="US"/>
    <x v="0"/>
    <x v="0"/>
    <x v="0"/>
    <x v="20"/>
    <s v="0706.90"/>
    <n v="1"/>
    <n v="0.453592"/>
    <n v="28"/>
  </r>
  <r>
    <s v="016LAX95121633"/>
    <s v="US"/>
    <x v="0"/>
    <x v="0"/>
    <x v="0"/>
    <x v="52"/>
    <s v="0603.13"/>
    <n v="22"/>
    <n v="9.979023999999999"/>
    <n v="355.15000000000003"/>
  </r>
  <r>
    <s v="016LAX95121633"/>
    <s v="US"/>
    <x v="0"/>
    <x v="0"/>
    <x v="0"/>
    <x v="79"/>
    <s v="0810.30"/>
    <n v="1"/>
    <n v="0.453592"/>
    <n v="42"/>
  </r>
  <r>
    <s v="016LAX95121633"/>
    <s v="US"/>
    <x v="0"/>
    <x v="0"/>
    <x v="0"/>
    <x v="108"/>
    <s v="0709.99"/>
    <n v="3"/>
    <n v="1.360776"/>
    <n v="21"/>
  </r>
  <r>
    <s v="016LAX95121633"/>
    <s v="US"/>
    <x v="0"/>
    <x v="0"/>
    <x v="0"/>
    <x v="8"/>
    <s v="0703.90"/>
    <n v="1"/>
    <n v="0.453592"/>
    <n v="12.6"/>
  </r>
  <r>
    <s v="016LAX95121633"/>
    <s v="US"/>
    <x v="0"/>
    <x v="0"/>
    <x v="0"/>
    <x v="10"/>
    <s v="0709.51"/>
    <n v="1"/>
    <n v="0.453592"/>
    <n v="68.599999999999994"/>
  </r>
  <r>
    <s v="016LAX95121633"/>
    <s v="US"/>
    <x v="0"/>
    <x v="0"/>
    <x v="0"/>
    <x v="1"/>
    <s v="0708.20"/>
    <n v="1"/>
    <n v="0.453592"/>
    <n v="40.6"/>
  </r>
  <r>
    <s v="016LAX95121633"/>
    <s v="US"/>
    <x v="0"/>
    <x v="0"/>
    <x v="0"/>
    <x v="9"/>
    <s v="0709.99"/>
    <n v="1"/>
    <n v="0.453592"/>
    <n v="11.2"/>
  </r>
  <r>
    <s v="016LAX95121633"/>
    <s v="US"/>
    <x v="0"/>
    <x v="0"/>
    <x v="0"/>
    <x v="11"/>
    <s v="0702.00"/>
    <n v="11"/>
    <n v="4.9895119999999995"/>
    <n v="498.4"/>
  </r>
  <r>
    <s v="016LAX95121633"/>
    <s v="US"/>
    <x v="0"/>
    <x v="0"/>
    <x v="0"/>
    <x v="12"/>
    <s v="0706.10"/>
    <n v="10"/>
    <n v="4.53592"/>
    <n v="224"/>
  </r>
  <r>
    <s v="016LAX95121633"/>
    <s v="US"/>
    <x v="0"/>
    <x v="0"/>
    <x v="0"/>
    <x v="13"/>
    <s v="0709.99"/>
    <n v="3"/>
    <n v="1.360776"/>
    <n v="16.8"/>
  </r>
  <r>
    <s v="016LAX95121633"/>
    <s v="US"/>
    <x v="0"/>
    <x v="0"/>
    <x v="0"/>
    <x v="47"/>
    <s v="0709.99"/>
    <n v="2"/>
    <n v="0.90718399999999999"/>
    <n v="106.4"/>
  </r>
  <r>
    <s v="016LAX95121633"/>
    <s v="US"/>
    <x v="0"/>
    <x v="0"/>
    <x v="0"/>
    <x v="14"/>
    <s v="0805.10"/>
    <n v="2"/>
    <n v="0.90718399999999999"/>
    <n v="63"/>
  </r>
  <r>
    <s v="016LAX95121633"/>
    <s v="US"/>
    <x v="0"/>
    <x v="0"/>
    <x v="0"/>
    <x v="8"/>
    <s v="0703.90"/>
    <n v="2"/>
    <n v="0.90718399999999999"/>
    <n v="25.2"/>
  </r>
  <r>
    <s v="016LAX95121633"/>
    <s v="US"/>
    <x v="0"/>
    <x v="0"/>
    <x v="0"/>
    <x v="109"/>
    <s v="0804.20"/>
    <n v="1"/>
    <n v="0.453592"/>
    <n v="72.8"/>
  </r>
  <r>
    <s v="MATS1112235-000"/>
    <s v="US"/>
    <x v="0"/>
    <x v="0"/>
    <x v="0"/>
    <x v="2"/>
    <s v="0704.90"/>
    <n v="112"/>
    <n v="50.802303999999999"/>
    <n v="3808"/>
  </r>
  <r>
    <s v="MATS1112235-000"/>
    <s v="US"/>
    <x v="0"/>
    <x v="0"/>
    <x v="0"/>
    <x v="3"/>
    <s v="0704.20"/>
    <n v="25"/>
    <n v="11.3398"/>
    <n v="960"/>
  </r>
  <r>
    <s v="MATS1112235-000"/>
    <s v="US"/>
    <x v="0"/>
    <x v="0"/>
    <x v="0"/>
    <x v="70"/>
    <s v="0704.90"/>
    <n v="30"/>
    <n v="13.607759999999999"/>
    <n v="1260"/>
  </r>
  <r>
    <s v="MATS1112235-000"/>
    <s v="US"/>
    <x v="0"/>
    <x v="0"/>
    <x v="0"/>
    <x v="35"/>
    <s v="0704.90"/>
    <n v="150"/>
    <n v="68.038799999999995"/>
    <n v="5412.25"/>
  </r>
  <r>
    <s v="MATS1112235-000"/>
    <s v="US"/>
    <x v="0"/>
    <x v="0"/>
    <x v="0"/>
    <x v="33"/>
    <s v="0704.10"/>
    <n v="56"/>
    <n v="25.401152"/>
    <n v="1568"/>
  </r>
  <r>
    <s v="MATS1112235-000"/>
    <s v="US"/>
    <x v="0"/>
    <x v="0"/>
    <x v="0"/>
    <x v="21"/>
    <s v="0709.40"/>
    <n v="32"/>
    <n v="14.514944"/>
    <n v="512"/>
  </r>
  <r>
    <s v="MATS1112235-000"/>
    <s v="US"/>
    <x v="0"/>
    <x v="0"/>
    <x v="0"/>
    <x v="15"/>
    <s v="0709.99"/>
    <n v="20"/>
    <n v="9.0718399999999999"/>
    <n v="400"/>
  </r>
  <r>
    <s v="MATS1112235-000"/>
    <s v="US"/>
    <x v="0"/>
    <x v="0"/>
    <x v="0"/>
    <x v="23"/>
    <s v="0705.11"/>
    <n v="218"/>
    <n v="98.883055999999996"/>
    <n v="5287"/>
  </r>
  <r>
    <s v="MATS1834925-000"/>
    <s v="US"/>
    <x v="0"/>
    <x v="0"/>
    <x v="0"/>
    <x v="29"/>
    <s v="0806.10"/>
    <n v="150"/>
    <n v="68.038799999999995"/>
    <n v="5250"/>
  </r>
  <r>
    <s v="MATS1834925-000"/>
    <s v="US"/>
    <x v="0"/>
    <x v="0"/>
    <x v="0"/>
    <x v="73"/>
    <s v="0807.19"/>
    <n v="168"/>
    <n v="76.203456000000003"/>
    <n v="2856"/>
  </r>
  <r>
    <s v="MATS1834925-000"/>
    <s v="US"/>
    <x v="0"/>
    <x v="0"/>
    <x v="0"/>
    <x v="74"/>
    <s v="0807.19"/>
    <n v="140"/>
    <n v="63.502879999999998"/>
    <n v="2380"/>
  </r>
  <r>
    <s v="MATS1834925-000"/>
    <s v="MX"/>
    <x v="2"/>
    <x v="2"/>
    <x v="1"/>
    <x v="76"/>
    <s v="0807.11"/>
    <n v="28"/>
    <n v="12.700576"/>
    <n v="840"/>
  </r>
  <r>
    <s v="MATS1834925-000"/>
    <s v="CR"/>
    <x v="12"/>
    <x v="12"/>
    <x v="1"/>
    <x v="75"/>
    <s v="0804.30"/>
    <n v="75"/>
    <n v="34.019399999999997"/>
    <n v="1350"/>
  </r>
  <r>
    <s v="MATS1834925-000"/>
    <s v="MX"/>
    <x v="2"/>
    <x v="2"/>
    <x v="1"/>
    <x v="24"/>
    <s v="0709.60"/>
    <n v="112"/>
    <n v="50.802303999999999"/>
    <n v="2576"/>
  </r>
  <r>
    <s v="MATS1834925-000"/>
    <s v="MX"/>
    <x v="2"/>
    <x v="2"/>
    <x v="1"/>
    <x v="24"/>
    <s v="0709.60"/>
    <n v="56"/>
    <n v="25.401152"/>
    <n v="1512"/>
  </r>
  <r>
    <s v="MATS1834925-000"/>
    <s v="US"/>
    <x v="0"/>
    <x v="0"/>
    <x v="0"/>
    <x v="2"/>
    <s v="0704.90"/>
    <n v="112"/>
    <n v="50.802303999999999"/>
    <n v="2688"/>
  </r>
  <r>
    <s v="MATS1834925-000"/>
    <s v="US"/>
    <x v="0"/>
    <x v="0"/>
    <x v="0"/>
    <x v="70"/>
    <s v="0704.90"/>
    <n v="30"/>
    <n v="13.607759999999999"/>
    <n v="1890"/>
  </r>
  <r>
    <s v="MATS1834925-000"/>
    <s v="US"/>
    <x v="0"/>
    <x v="0"/>
    <x v="0"/>
    <x v="35"/>
    <s v="0704.90"/>
    <n v="50"/>
    <n v="22.679600000000001"/>
    <n v="2152.5"/>
  </r>
  <r>
    <s v="MATS1834925-000"/>
    <s v="US"/>
    <x v="0"/>
    <x v="0"/>
    <x v="0"/>
    <x v="21"/>
    <s v="0709.40"/>
    <n v="32"/>
    <n v="14.514944"/>
    <n v="512"/>
  </r>
  <r>
    <s v="MATS1834925-000"/>
    <s v="US"/>
    <x v="0"/>
    <x v="0"/>
    <x v="0"/>
    <x v="23"/>
    <s v="0705.11"/>
    <n v="70"/>
    <n v="31.751439999999999"/>
    <n v="1190"/>
  </r>
  <r>
    <s v="MATS1834925-000"/>
    <s v="MX"/>
    <x v="2"/>
    <x v="2"/>
    <x v="1"/>
    <x v="11"/>
    <s v="0702.00"/>
    <n v="88"/>
    <n v="39.916095999999996"/>
    <n v="1760"/>
  </r>
  <r>
    <s v="MATS4304026-000"/>
    <s v="US"/>
    <x v="0"/>
    <x v="0"/>
    <x v="0"/>
    <x v="29"/>
    <s v="0806.10"/>
    <n v="200"/>
    <n v="90.718400000000003"/>
    <n v="7200"/>
  </r>
  <r>
    <s v="MATS4304026-000"/>
    <s v="US"/>
    <x v="0"/>
    <x v="0"/>
    <x v="0"/>
    <x v="64"/>
    <s v="0805.50"/>
    <n v="108"/>
    <n v="48.987935999999998"/>
    <n v="2970"/>
  </r>
  <r>
    <s v="MATS4304026-000"/>
    <s v="US"/>
    <x v="0"/>
    <x v="0"/>
    <x v="0"/>
    <x v="73"/>
    <s v="0807.19"/>
    <n v="224"/>
    <n v="101.604608"/>
    <n v="3808"/>
  </r>
  <r>
    <s v="MATS4304026-000"/>
    <s v="MX"/>
    <x v="2"/>
    <x v="2"/>
    <x v="1"/>
    <x v="76"/>
    <s v="0807.11"/>
    <n v="28"/>
    <n v="12.700576"/>
    <n v="840"/>
  </r>
  <r>
    <s v="MATS4304026-000"/>
    <s v="US"/>
    <x v="0"/>
    <x v="0"/>
    <x v="0"/>
    <x v="24"/>
    <s v="0709.60"/>
    <n v="105"/>
    <n v="47.627159999999996"/>
    <n v="2954"/>
  </r>
  <r>
    <s v="MATS4304026-000"/>
    <s v="MX"/>
    <x v="2"/>
    <x v="2"/>
    <x v="1"/>
    <x v="24"/>
    <s v="0709.60"/>
    <n v="60"/>
    <n v="27.215519999999998"/>
    <n v="1020"/>
  </r>
  <r>
    <s v="MATS4304026-000"/>
    <s v="MX"/>
    <x v="2"/>
    <x v="2"/>
    <x v="1"/>
    <x v="24"/>
    <s v="0709.60"/>
    <n v="50"/>
    <n v="22.679600000000001"/>
    <n v="1500"/>
  </r>
  <r>
    <s v="MATS4304026-000"/>
    <s v="NL"/>
    <x v="17"/>
    <x v="15"/>
    <x v="1"/>
    <x v="24"/>
    <s v="0709.60"/>
    <n v="90"/>
    <n v="40.823279999999997"/>
    <n v="2340"/>
  </r>
  <r>
    <s v="MATS4304026-000"/>
    <s v="US"/>
    <x v="0"/>
    <x v="0"/>
    <x v="0"/>
    <x v="70"/>
    <s v="0704.90"/>
    <n v="42"/>
    <n v="19.050864000000001"/>
    <n v="1260"/>
  </r>
  <r>
    <s v="MATS4304026-000"/>
    <s v="US"/>
    <x v="0"/>
    <x v="0"/>
    <x v="0"/>
    <x v="35"/>
    <s v="0704.90"/>
    <n v="30"/>
    <n v="13.607759999999999"/>
    <n v="1076.25"/>
  </r>
  <r>
    <s v="MATS4304026-000"/>
    <s v="US"/>
    <x v="0"/>
    <x v="0"/>
    <x v="0"/>
    <x v="12"/>
    <s v="0706.10"/>
    <n v="42"/>
    <n v="19.050864000000001"/>
    <n v="1260"/>
  </r>
  <r>
    <s v="MATS4304026-000"/>
    <s v="US"/>
    <x v="0"/>
    <x v="0"/>
    <x v="0"/>
    <x v="21"/>
    <s v="0709.40"/>
    <n v="32"/>
    <n v="14.514944"/>
    <n v="512"/>
  </r>
  <r>
    <s v="MATS4304026-000"/>
    <s v="US"/>
    <x v="0"/>
    <x v="0"/>
    <x v="0"/>
    <x v="63"/>
    <s v="0714.30"/>
    <n v="108"/>
    <n v="48.987935999999998"/>
    <n v="2910.6"/>
  </r>
  <r>
    <s v="MATS4304026-000"/>
    <s v="US"/>
    <x v="0"/>
    <x v="0"/>
    <x v="0"/>
    <x v="60"/>
    <s v="0714.20"/>
    <n v="63"/>
    <n v="28.576295999999999"/>
    <n v="3071.25"/>
  </r>
  <r>
    <s v="MATS7588133-000"/>
    <s v="US"/>
    <x v="0"/>
    <x v="0"/>
    <x v="0"/>
    <x v="64"/>
    <s v="0805.50"/>
    <n v="54"/>
    <n v="24.493967999999999"/>
    <n v="1593"/>
  </r>
  <r>
    <s v="MATS7588133-000"/>
    <s v="MX"/>
    <x v="2"/>
    <x v="2"/>
    <x v="1"/>
    <x v="76"/>
    <s v="0807.11"/>
    <n v="28"/>
    <n v="12.700576"/>
    <n v="840"/>
  </r>
  <r>
    <s v="MATS7588133-000"/>
    <s v="US"/>
    <x v="0"/>
    <x v="0"/>
    <x v="0"/>
    <x v="2"/>
    <s v="0704.90"/>
    <n v="112"/>
    <n v="50.802303999999999"/>
    <n v="2688"/>
  </r>
  <r>
    <s v="MATS7588133-000"/>
    <s v="US"/>
    <x v="0"/>
    <x v="0"/>
    <x v="0"/>
    <x v="3"/>
    <s v="0704.20"/>
    <n v="10"/>
    <n v="4.53592"/>
    <n v="330"/>
  </r>
  <r>
    <s v="MATS7588133-000"/>
    <s v="US"/>
    <x v="0"/>
    <x v="0"/>
    <x v="0"/>
    <x v="70"/>
    <s v="0704.90"/>
    <n v="63"/>
    <n v="28.576295999999999"/>
    <n v="1890"/>
  </r>
  <r>
    <s v="MATS7588133-000"/>
    <s v="US"/>
    <x v="0"/>
    <x v="0"/>
    <x v="0"/>
    <x v="35"/>
    <s v="0704.90"/>
    <n v="136"/>
    <n v="61.688512000000003"/>
    <n v="4810.5"/>
  </r>
  <r>
    <s v="MATS7588133-000"/>
    <s v="US"/>
    <x v="0"/>
    <x v="0"/>
    <x v="0"/>
    <x v="15"/>
    <s v="0709.99"/>
    <n v="10"/>
    <n v="4.53592"/>
    <n v="200"/>
  </r>
  <r>
    <s v="MATS7588133-000"/>
    <s v="US"/>
    <x v="0"/>
    <x v="0"/>
    <x v="0"/>
    <x v="39"/>
    <s v="0704.90"/>
    <n v="5"/>
    <n v="2.26796"/>
    <n v="99.75"/>
  </r>
  <r>
    <s v="MATS7588133-000"/>
    <s v="US"/>
    <x v="0"/>
    <x v="0"/>
    <x v="0"/>
    <x v="23"/>
    <s v="0705.11"/>
    <n v="231"/>
    <n v="104.779752"/>
    <n v="3941"/>
  </r>
  <r>
    <s v="MATS7588133-000"/>
    <s v="US"/>
    <x v="0"/>
    <x v="0"/>
    <x v="0"/>
    <x v="22"/>
    <s v="0703.90"/>
    <n v="3"/>
    <n v="1.360776"/>
    <n v="72"/>
  </r>
  <r>
    <s v="MATS9843108-000"/>
    <s v="US"/>
    <x v="0"/>
    <x v="0"/>
    <x v="0"/>
    <x v="64"/>
    <s v="0805.50"/>
    <n v="108"/>
    <n v="48.987935999999998"/>
    <n v="2970"/>
  </r>
  <r>
    <s v="MATS9843108-000"/>
    <s v="US"/>
    <x v="0"/>
    <x v="0"/>
    <x v="0"/>
    <x v="73"/>
    <s v="0807.19"/>
    <n v="56"/>
    <n v="25.401152"/>
    <n v="952"/>
  </r>
  <r>
    <s v="MATS9843108-000"/>
    <s v="MX"/>
    <x v="2"/>
    <x v="2"/>
    <x v="1"/>
    <x v="74"/>
    <s v="0807.19"/>
    <n v="140"/>
    <n v="63.502879999999998"/>
    <n v="2100"/>
  </r>
  <r>
    <s v="MATS9843108-000"/>
    <s v="MX"/>
    <x v="2"/>
    <x v="2"/>
    <x v="1"/>
    <x v="76"/>
    <s v="0807.11"/>
    <n v="40"/>
    <n v="18.14368"/>
    <n v="1200"/>
  </r>
  <r>
    <s v="MATS9843108-000"/>
    <s v="CR"/>
    <x v="12"/>
    <x v="12"/>
    <x v="1"/>
    <x v="75"/>
    <s v="0804.30"/>
    <n v="40"/>
    <n v="18.14368"/>
    <n v="720"/>
  </r>
  <r>
    <s v="MATS9843108-000"/>
    <s v="US"/>
    <x v="0"/>
    <x v="0"/>
    <x v="0"/>
    <x v="24"/>
    <s v="0709.60"/>
    <n v="112"/>
    <n v="50.802303999999999"/>
    <n v="3416"/>
  </r>
  <r>
    <s v="MATS9843108-000"/>
    <s v="US"/>
    <x v="0"/>
    <x v="0"/>
    <x v="0"/>
    <x v="2"/>
    <s v="0704.90"/>
    <n v="112"/>
    <n v="50.802303999999999"/>
    <n v="3808"/>
  </r>
  <r>
    <s v="MATS9843108-000"/>
    <s v="US"/>
    <x v="0"/>
    <x v="0"/>
    <x v="0"/>
    <x v="70"/>
    <s v="0704.90"/>
    <n v="42"/>
    <n v="19.050864000000001"/>
    <n v="1260"/>
  </r>
  <r>
    <s v="MATS9843108-000"/>
    <s v="US"/>
    <x v="0"/>
    <x v="0"/>
    <x v="0"/>
    <x v="35"/>
    <s v="0704.90"/>
    <n v="105"/>
    <n v="47.627159999999996"/>
    <n v="3228.75"/>
  </r>
  <r>
    <s v="MATS9843108-000"/>
    <s v="US"/>
    <x v="0"/>
    <x v="0"/>
    <x v="0"/>
    <x v="12"/>
    <s v="0706.10"/>
    <n v="42"/>
    <n v="19.050864000000001"/>
    <n v="1260"/>
  </r>
  <r>
    <s v="MATS9843108-000"/>
    <s v="US"/>
    <x v="0"/>
    <x v="0"/>
    <x v="0"/>
    <x v="33"/>
    <s v="0704.10"/>
    <n v="8"/>
    <n v="3.628736"/>
    <n v="224"/>
  </r>
  <r>
    <s v="MATS9843108-000"/>
    <s v="US"/>
    <x v="0"/>
    <x v="0"/>
    <x v="0"/>
    <x v="21"/>
    <s v="0709.40"/>
    <n v="32"/>
    <n v="14.514944"/>
    <n v="512"/>
  </r>
  <r>
    <s v="MATS9843108-000"/>
    <s v="US"/>
    <x v="0"/>
    <x v="0"/>
    <x v="0"/>
    <x v="39"/>
    <s v="0704.90"/>
    <n v="5"/>
    <n v="2.26796"/>
    <n v="99.75"/>
  </r>
  <r>
    <s v="MATS9843108-000"/>
    <s v="US"/>
    <x v="0"/>
    <x v="0"/>
    <x v="0"/>
    <x v="23"/>
    <s v="0705.11"/>
    <n v="40"/>
    <n v="18.14368"/>
    <n v="800"/>
  </r>
  <r>
    <s v="MATS9843108-000"/>
    <s v="US"/>
    <x v="0"/>
    <x v="0"/>
    <x v="0"/>
    <x v="22"/>
    <s v="0703.90"/>
    <n v="3"/>
    <n v="1.360776"/>
    <n v="72"/>
  </r>
  <r>
    <s v="MATS5213471-000"/>
    <s v="US"/>
    <x v="0"/>
    <x v="0"/>
    <x v="0"/>
    <x v="2"/>
    <s v="0704.90"/>
    <n v="112"/>
    <n v="50.802303999999999"/>
    <n v="3808"/>
  </r>
  <r>
    <s v="MATS5213471-000"/>
    <s v="US"/>
    <x v="0"/>
    <x v="0"/>
    <x v="0"/>
    <x v="70"/>
    <s v="0704.90"/>
    <n v="70"/>
    <n v="31.751439999999999"/>
    <n v="2100"/>
  </r>
  <r>
    <s v="MATS5213471-000"/>
    <s v="US"/>
    <x v="0"/>
    <x v="0"/>
    <x v="0"/>
    <x v="35"/>
    <s v="0704.90"/>
    <n v="120"/>
    <n v="54.431039999999996"/>
    <n v="3552.5"/>
  </r>
  <r>
    <s v="MATS5213471-000"/>
    <s v="US"/>
    <x v="0"/>
    <x v="0"/>
    <x v="0"/>
    <x v="33"/>
    <s v="0704.10"/>
    <n v="24"/>
    <n v="10.886208"/>
    <n v="672"/>
  </r>
  <r>
    <s v="MATS5213471-000"/>
    <s v="US"/>
    <x v="0"/>
    <x v="0"/>
    <x v="0"/>
    <x v="23"/>
    <s v="0705.11"/>
    <n v="279"/>
    <n v="126.55216799999999"/>
    <n v="9668.5"/>
  </r>
  <r>
    <s v="MATS5213471-000"/>
    <s v="US"/>
    <x v="0"/>
    <x v="0"/>
    <x v="0"/>
    <x v="17"/>
    <s v="0709.70"/>
    <n v="16"/>
    <n v="7.2574719999999999"/>
    <n v="448"/>
  </r>
  <r>
    <s v="MATS5213471-000"/>
    <s v="MX"/>
    <x v="2"/>
    <x v="2"/>
    <x v="1"/>
    <x v="11"/>
    <s v="0702.00"/>
    <n v="88"/>
    <n v="39.916095999999996"/>
    <n v="3520"/>
  </r>
  <r>
    <s v="MATS9565794-000"/>
    <s v="MX"/>
    <x v="2"/>
    <x v="2"/>
    <x v="1"/>
    <x v="27"/>
    <s v="0804.40"/>
    <n v="72"/>
    <n v="32.658624000000003"/>
    <n v="4608"/>
  </r>
  <r>
    <s v="MATS9565794-000"/>
    <s v="US"/>
    <x v="0"/>
    <x v="0"/>
    <x v="0"/>
    <x v="29"/>
    <s v="0806.10"/>
    <n v="150"/>
    <n v="68.038799999999995"/>
    <n v="5400"/>
  </r>
  <r>
    <s v="MATS9565794-000"/>
    <s v="US"/>
    <x v="0"/>
    <x v="0"/>
    <x v="0"/>
    <x v="67"/>
    <s v="0805.40"/>
    <n v="18"/>
    <n v="8.1646560000000008"/>
    <n v="639"/>
  </r>
  <r>
    <s v="MATS9565794-000"/>
    <s v="CL"/>
    <x v="11"/>
    <x v="11"/>
    <x v="1"/>
    <x v="65"/>
    <s v="0810.50"/>
    <n v="15"/>
    <n v="6.8038799999999995"/>
    <n v="690"/>
  </r>
  <r>
    <s v="MATS9565794-000"/>
    <s v="US"/>
    <x v="0"/>
    <x v="0"/>
    <x v="0"/>
    <x v="65"/>
    <s v="0810.50"/>
    <n v="50"/>
    <n v="22.679600000000001"/>
    <n v="850"/>
  </r>
  <r>
    <s v="MATS9565794-000"/>
    <s v="US"/>
    <x v="0"/>
    <x v="0"/>
    <x v="0"/>
    <x v="64"/>
    <s v="0805.50"/>
    <n v="18"/>
    <n v="8.1646560000000008"/>
    <n v="495"/>
  </r>
  <r>
    <s v="MATS9565794-000"/>
    <s v="BR"/>
    <x v="18"/>
    <x v="16"/>
    <x v="1"/>
    <x v="16"/>
    <s v="0804.50"/>
    <n v="400"/>
    <n v="181.43680000000001"/>
    <n v="7200"/>
  </r>
  <r>
    <s v="MATS9565794-000"/>
    <s v="MX"/>
    <x v="2"/>
    <x v="2"/>
    <x v="1"/>
    <x v="74"/>
    <s v="0807.19"/>
    <n v="56"/>
    <n v="25.401152"/>
    <n v="840"/>
  </r>
  <r>
    <s v="MATS9565794-000"/>
    <s v="MX"/>
    <x v="2"/>
    <x v="2"/>
    <x v="1"/>
    <x v="76"/>
    <s v="0807.11"/>
    <n v="40"/>
    <n v="18.14368"/>
    <n v="1200"/>
  </r>
  <r>
    <s v="MATS9565794-000"/>
    <s v="CR"/>
    <x v="12"/>
    <x v="12"/>
    <x v="1"/>
    <x v="75"/>
    <s v="0804.30"/>
    <n v="75"/>
    <n v="34.019399999999997"/>
    <n v="1350"/>
  </r>
  <r>
    <s v="MATS9565794-000"/>
    <s v="MX"/>
    <x v="2"/>
    <x v="2"/>
    <x v="1"/>
    <x v="0"/>
    <s v="0709.20"/>
    <n v="50"/>
    <n v="22.679600000000001"/>
    <n v="1650"/>
  </r>
  <r>
    <s v="MATS9565794-000"/>
    <s v="MX"/>
    <x v="2"/>
    <x v="2"/>
    <x v="1"/>
    <x v="58"/>
    <s v="0706.90"/>
    <n v="16"/>
    <n v="7.2574719999999999"/>
    <n v="224"/>
  </r>
  <r>
    <s v="MATS9565794-000"/>
    <s v="US"/>
    <x v="0"/>
    <x v="0"/>
    <x v="0"/>
    <x v="12"/>
    <s v="0706.10"/>
    <n v="33"/>
    <n v="14.968536"/>
    <n v="600"/>
  </r>
  <r>
    <s v="MATS9565794-000"/>
    <s v="US"/>
    <x v="0"/>
    <x v="0"/>
    <x v="0"/>
    <x v="21"/>
    <s v="0709.40"/>
    <n v="20"/>
    <n v="9.0718399999999999"/>
    <n v="400"/>
  </r>
  <r>
    <s v="MATS9565794-000"/>
    <s v="MX"/>
    <x v="2"/>
    <x v="2"/>
    <x v="1"/>
    <x v="24"/>
    <s v="0709.60"/>
    <n v="50"/>
    <n v="22.679600000000001"/>
    <n v="597.5"/>
  </r>
  <r>
    <s v="MATS9565794-000"/>
    <s v="US"/>
    <x v="0"/>
    <x v="0"/>
    <x v="0"/>
    <x v="24"/>
    <s v="0709.60"/>
    <n v="10"/>
    <n v="4.53592"/>
    <n v="119.5"/>
  </r>
  <r>
    <s v="MATS9565794-000"/>
    <s v="MX"/>
    <x v="2"/>
    <x v="2"/>
    <x v="1"/>
    <x v="68"/>
    <s v="0709.99"/>
    <n v="14"/>
    <n v="6.3502879999999999"/>
    <n v="167.3"/>
  </r>
  <r>
    <s v="MATS9565794-000"/>
    <s v="ES"/>
    <x v="19"/>
    <x v="17"/>
    <x v="1"/>
    <x v="43"/>
    <s v="0703.20"/>
    <n v="25"/>
    <n v="11.3398"/>
    <n v="1977.5"/>
  </r>
  <r>
    <s v="MATS9565794-000"/>
    <s v="CHN"/>
    <x v="13"/>
    <x v="8"/>
    <x v="1"/>
    <x v="77"/>
    <s v="0910.11"/>
    <n v="56"/>
    <n v="25.401152"/>
    <n v="2240"/>
  </r>
  <r>
    <s v="MATS9565794-000"/>
    <s v="US"/>
    <x v="0"/>
    <x v="0"/>
    <x v="0"/>
    <x v="10"/>
    <s v="0709.51"/>
    <n v="25"/>
    <n v="11.3398"/>
    <n v="542.5"/>
  </r>
  <r>
    <s v="MATS9565794-000"/>
    <s v="MX"/>
    <x v="2"/>
    <x v="2"/>
    <x v="1"/>
    <x v="22"/>
    <s v="0703.90"/>
    <n v="132"/>
    <n v="59.874144000000001"/>
    <n v="3168"/>
  </r>
  <r>
    <s v="MATS9565794-000"/>
    <s v="US"/>
    <x v="0"/>
    <x v="0"/>
    <x v="0"/>
    <x v="32"/>
    <s v="0703.10"/>
    <n v="64"/>
    <n v="29.029888"/>
    <n v="1135.5"/>
  </r>
  <r>
    <s v="MATS9565794-000"/>
    <s v="US"/>
    <x v="0"/>
    <x v="0"/>
    <x v="0"/>
    <x v="20"/>
    <s v="0706.90"/>
    <n v="8"/>
    <n v="3.628736"/>
    <n v="184"/>
  </r>
  <r>
    <s v="MATS9565794-000"/>
    <s v="US"/>
    <x v="0"/>
    <x v="0"/>
    <x v="0"/>
    <x v="88"/>
    <s v="0714.40"/>
    <n v="12"/>
    <n v="5.4431039999999999"/>
    <n v="576"/>
  </r>
  <r>
    <s v="MATS9565794-000"/>
    <s v="US"/>
    <x v="0"/>
    <x v="0"/>
    <x v="0"/>
    <x v="25"/>
    <s v="0709.93"/>
    <n v="7"/>
    <n v="3.175144"/>
    <n v="126"/>
  </r>
  <r>
    <s v="MATS9565794-000"/>
    <s v="MX"/>
    <x v="2"/>
    <x v="2"/>
    <x v="1"/>
    <x v="25"/>
    <s v="0709.93"/>
    <n v="62"/>
    <n v="28.122703999999999"/>
    <n v="1323"/>
  </r>
  <r>
    <s v="MATS9565794-000"/>
    <s v="MX"/>
    <x v="2"/>
    <x v="2"/>
    <x v="1"/>
    <x v="11"/>
    <s v="0702.00"/>
    <n v="152"/>
    <n v="68.945983999999996"/>
    <n v="3952"/>
  </r>
  <r>
    <s v="MATS9565794-000"/>
    <s v="NZ"/>
    <x v="4"/>
    <x v="4"/>
    <x v="1"/>
    <x v="65"/>
    <s v="0810.50"/>
    <n v="75"/>
    <n v="34.019399999999997"/>
    <n v="2212.5"/>
  </r>
  <r>
    <s v="MATS9565794-000"/>
    <s v="BR"/>
    <x v="18"/>
    <x v="16"/>
    <x v="1"/>
    <x v="77"/>
    <s v="0910.11"/>
    <n v="8"/>
    <n v="3.628736"/>
    <n v="266"/>
  </r>
  <r>
    <s v="MATS9565794-000"/>
    <s v="US"/>
    <x v="0"/>
    <x v="0"/>
    <x v="0"/>
    <x v="64"/>
    <s v="0805.50"/>
    <n v="18"/>
    <n v="8.1646560000000008"/>
    <n v="495"/>
  </r>
  <r>
    <s v="MATS9565794-000"/>
    <s v="US"/>
    <x v="0"/>
    <x v="0"/>
    <x v="0"/>
    <x v="14"/>
    <s v="0805.10"/>
    <n v="40"/>
    <n v="18.14368"/>
    <n v="1840"/>
  </r>
  <r>
    <s v="440SPN10039314"/>
    <s v="MP , Saipan"/>
    <x v="20"/>
    <x v="6"/>
    <x v="1"/>
    <x v="110"/>
    <s v="0803.10"/>
    <n v="173"/>
    <n v="78.471416000000005"/>
    <n v="121.1"/>
  </r>
  <r>
    <s v="440SPN10039314"/>
    <s v="MP , Saipan"/>
    <x v="20"/>
    <x v="6"/>
    <x v="1"/>
    <x v="111"/>
    <s v="0810.90"/>
    <n v="17"/>
    <n v="7.7110640000000004"/>
    <n v="21.25"/>
  </r>
  <r>
    <s v="440SPN10039350"/>
    <s v="MP , Saipan"/>
    <x v="20"/>
    <x v="6"/>
    <x v="1"/>
    <x v="37"/>
    <s v="0709.30"/>
    <n v="31"/>
    <n v="14.061351999999999"/>
    <n v="38.75"/>
  </r>
  <r>
    <s v="440SPN10039350"/>
    <s v="MP , Saipan"/>
    <x v="20"/>
    <x v="6"/>
    <x v="1"/>
    <x v="24"/>
    <s v="0709.60"/>
    <n v="5.5"/>
    <n v="2.4947559999999998"/>
    <n v="46.75"/>
  </r>
  <r>
    <s v="440SPN10039350"/>
    <s v="MP , Saipan"/>
    <x v="20"/>
    <x v="6"/>
    <x v="1"/>
    <x v="97"/>
    <s v="0709.99"/>
    <n v="53"/>
    <n v="24.040375999999998"/>
    <n v="79.5"/>
  </r>
  <r>
    <s v="440SPN10039350"/>
    <s v="MP , Saipan"/>
    <x v="20"/>
    <x v="6"/>
    <x v="1"/>
    <x v="110"/>
    <s v="0803.10"/>
    <n v="407"/>
    <n v="184.61194399999999"/>
    <n v="284.89999999999998"/>
  </r>
  <r>
    <s v="440SPN10039350"/>
    <s v="MP , Saipan"/>
    <x v="20"/>
    <x v="6"/>
    <x v="1"/>
    <x v="112"/>
    <s v="0803.90"/>
    <n v="32"/>
    <n v="14.514944"/>
    <n v="25.6"/>
  </r>
  <r>
    <s v="440SPN10039350"/>
    <s v="MP , Saipan"/>
    <x v="20"/>
    <x v="6"/>
    <x v="1"/>
    <x v="113"/>
    <s v="0803.90"/>
    <n v="10"/>
    <n v="4.53592"/>
    <n v="6"/>
  </r>
  <r>
    <s v="440SPN10039350"/>
    <s v="MP , Saipan"/>
    <x v="20"/>
    <x v="6"/>
    <x v="1"/>
    <x v="114"/>
    <s v="0803.90"/>
    <n v="34"/>
    <n v="15.422128000000001"/>
    <n v="34"/>
  </r>
  <r>
    <s v="440SPN10039350"/>
    <s v="MP , Saipan"/>
    <x v="20"/>
    <x v="6"/>
    <x v="1"/>
    <x v="115"/>
    <s v="081090"/>
    <n v="11"/>
    <n v="4.9895119999999995"/>
    <n v="8"/>
  </r>
  <r>
    <s v="440SPN10039392"/>
    <s v="MP , Saipan"/>
    <x v="20"/>
    <x v="6"/>
    <x v="1"/>
    <x v="114"/>
    <s v="0803.90"/>
    <n v="20"/>
    <n v="9.0718399999999999"/>
    <n v="25"/>
  </r>
  <r>
    <s v="440SPN10039393"/>
    <s v="MP , Saipan"/>
    <x v="20"/>
    <x v="6"/>
    <x v="1"/>
    <x v="37"/>
    <s v="0709.30"/>
    <n v="45"/>
    <n v="20.411639999999998"/>
    <n v="45"/>
  </r>
  <r>
    <s v="440SPN10039393"/>
    <s v="MP , Saipan"/>
    <x v="20"/>
    <x v="6"/>
    <x v="1"/>
    <x v="110"/>
    <s v="0803.10"/>
    <n v="869"/>
    <n v="394.171448"/>
    <n v="608.29999999999995"/>
  </r>
  <r>
    <s v="440SPN10039393"/>
    <s v="MP , Saipan"/>
    <x v="20"/>
    <x v="6"/>
    <x v="1"/>
    <x v="113"/>
    <s v="0803.90"/>
    <n v="91"/>
    <n v="41.276871999999997"/>
    <n v="63.7"/>
  </r>
  <r>
    <s v="440SPN10039393"/>
    <s v="MP , Saipan"/>
    <x v="20"/>
    <x v="6"/>
    <x v="1"/>
    <x v="112"/>
    <s v="0803.90"/>
    <n v="282"/>
    <n v="127.912944"/>
    <n v="225.6"/>
  </r>
  <r>
    <s v="440SPN10039393"/>
    <s v="MP , Saipan"/>
    <x v="20"/>
    <x v="6"/>
    <x v="1"/>
    <x v="114"/>
    <s v="0803.90"/>
    <n v="15"/>
    <n v="6.8038799999999995"/>
    <n v="15"/>
  </r>
  <r>
    <s v="440SPN10039393"/>
    <s v="MP , Saipan"/>
    <x v="20"/>
    <x v="6"/>
    <x v="1"/>
    <x v="99"/>
    <s v="0805.90"/>
    <n v="33"/>
    <n v="14.968536"/>
    <n v="49.5"/>
  </r>
  <r>
    <s v="440TIQ10039315"/>
    <s v="MP , Tinian"/>
    <x v="21"/>
    <x v="6"/>
    <x v="1"/>
    <x v="4"/>
    <s v="0707.00"/>
    <n v="324"/>
    <n v="146.963808"/>
    <n v="324"/>
  </r>
  <r>
    <s v="440TIQ10039315"/>
    <s v="MP , Tinian"/>
    <x v="21"/>
    <x v="6"/>
    <x v="1"/>
    <x v="97"/>
    <s v="0709.99"/>
    <n v="38"/>
    <n v="17.236495999999999"/>
    <n v="38"/>
  </r>
  <r>
    <s v="440TIQ10039404"/>
    <s v="MP , Tinian"/>
    <x v="21"/>
    <x v="6"/>
    <x v="1"/>
    <x v="4"/>
    <s v="0707.00"/>
    <n v="200"/>
    <n v="90.718400000000003"/>
    <n v="200"/>
  </r>
  <r>
    <s v="440TIQ10039404"/>
    <s v="MP , Tinian"/>
    <x v="21"/>
    <x v="6"/>
    <x v="1"/>
    <x v="1"/>
    <s v="0708.20"/>
    <n v="50"/>
    <n v="22.679600000000001"/>
    <n v="50"/>
  </r>
  <r>
    <s v="440TIQ10039404"/>
    <s v="MP , Tinian"/>
    <x v="21"/>
    <x v="6"/>
    <x v="1"/>
    <x v="37"/>
    <s v="0709.30"/>
    <n v="52"/>
    <n v="23.586784000000002"/>
    <n v="52"/>
  </r>
  <r>
    <s v="440TIQ10039404"/>
    <s v="MP , Tinian"/>
    <x v="21"/>
    <x v="6"/>
    <x v="1"/>
    <x v="103"/>
    <s v="0807.19"/>
    <n v="32"/>
    <n v="14.514944"/>
    <n v="32"/>
  </r>
  <r>
    <s v="MATS6280192-000"/>
    <s v="US , CA"/>
    <x v="0"/>
    <x v="0"/>
    <x v="0"/>
    <x v="66"/>
    <s v="0701.00"/>
    <n v="150"/>
    <n v="68.038799999999995"/>
    <n v="98.25"/>
  </r>
  <r>
    <s v="MATS6280192-000"/>
    <s v="US , CA"/>
    <x v="0"/>
    <x v="0"/>
    <x v="0"/>
    <x v="11"/>
    <s v="0702.00"/>
    <n v="75"/>
    <n v="34.019399999999997"/>
    <n v="128.25"/>
  </r>
  <r>
    <s v="MATS6280192-000"/>
    <s v="US , CA"/>
    <x v="0"/>
    <x v="0"/>
    <x v="0"/>
    <x v="11"/>
    <s v="0702.00"/>
    <n v="125"/>
    <n v="56.698999999999998"/>
    <n v="213.75"/>
  </r>
  <r>
    <s v="MATS6280192-000"/>
    <s v="US , CA"/>
    <x v="0"/>
    <x v="0"/>
    <x v="0"/>
    <x v="22"/>
    <s v="0703.90"/>
    <n v="16"/>
    <n v="7.2574719999999999"/>
    <n v="81.5"/>
  </r>
  <r>
    <s v="MATS6280192-000"/>
    <s v="US , CA"/>
    <x v="0"/>
    <x v="0"/>
    <x v="0"/>
    <x v="32"/>
    <s v="0703.10"/>
    <n v="500"/>
    <n v="226.79599999999999"/>
    <n v="313.5"/>
  </r>
  <r>
    <s v="MATS6280192-000"/>
    <s v="US , CA"/>
    <x v="0"/>
    <x v="0"/>
    <x v="0"/>
    <x v="32"/>
    <s v="0703.10"/>
    <n v="150"/>
    <n v="68.038799999999995"/>
    <n v="90"/>
  </r>
  <r>
    <s v="MATS6280192-000"/>
    <s v="US , CA"/>
    <x v="0"/>
    <x v="0"/>
    <x v="0"/>
    <x v="32"/>
    <s v="0703.10"/>
    <n v="24"/>
    <n v="10.886208"/>
    <n v="122.25"/>
  </r>
  <r>
    <s v="MATS6280192-000"/>
    <s v="US , CA"/>
    <x v="0"/>
    <x v="0"/>
    <x v="0"/>
    <x v="32"/>
    <s v="0703.10"/>
    <n v="25"/>
    <n v="11.3398"/>
    <n v="29"/>
  </r>
  <r>
    <s v="MATS6280192-000"/>
    <s v="US , CA"/>
    <x v="0"/>
    <x v="0"/>
    <x v="0"/>
    <x v="32"/>
    <s v="0703.10"/>
    <n v="750"/>
    <n v="340.19400000000002"/>
    <n v="470.25"/>
  </r>
  <r>
    <s v="MATS6280192-000"/>
    <s v="US , CA"/>
    <x v="0"/>
    <x v="0"/>
    <x v="0"/>
    <x v="32"/>
    <s v="0703.10"/>
    <n v="150"/>
    <n v="68.038799999999995"/>
    <n v="90"/>
  </r>
  <r>
    <s v="MATS6280192-000"/>
    <s v="US , CA"/>
    <x v="0"/>
    <x v="0"/>
    <x v="0"/>
    <x v="2"/>
    <s v="0704.90"/>
    <n v="66"/>
    <n v="29.937072000000001"/>
    <n v="104.25"/>
  </r>
  <r>
    <s v="MATS6280192-000"/>
    <s v="US , CA"/>
    <x v="0"/>
    <x v="0"/>
    <x v="0"/>
    <x v="33"/>
    <s v="0704.10"/>
    <n v="25"/>
    <n v="11.3398"/>
    <n v="30.75"/>
  </r>
  <r>
    <s v="MATS6280192-000"/>
    <s v="US , CA"/>
    <x v="0"/>
    <x v="0"/>
    <x v="0"/>
    <x v="33"/>
    <s v="0704.10"/>
    <n v="50"/>
    <n v="22.679600000000001"/>
    <n v="61.5"/>
  </r>
  <r>
    <s v="MATS6280192-000"/>
    <s v="US , CA"/>
    <x v="0"/>
    <x v="0"/>
    <x v="0"/>
    <x v="2"/>
    <s v="0704.90"/>
    <n v="60"/>
    <n v="27.215519999999998"/>
    <n v="101.25"/>
  </r>
  <r>
    <s v="MATS6280192-000"/>
    <s v="US , CA"/>
    <x v="0"/>
    <x v="0"/>
    <x v="0"/>
    <x v="23"/>
    <s v="0705.11"/>
    <n v="90"/>
    <n v="40.823279999999997"/>
    <n v="69.5"/>
  </r>
  <r>
    <s v="MATS6280192-000"/>
    <s v="US , CA"/>
    <x v="0"/>
    <x v="0"/>
    <x v="0"/>
    <x v="23"/>
    <s v="0705.11"/>
    <n v="180"/>
    <n v="81.646559999999994"/>
    <n v="159"/>
  </r>
  <r>
    <s v="MATS6280192-000"/>
    <s v="US , CA"/>
    <x v="0"/>
    <x v="0"/>
    <x v="0"/>
    <x v="23"/>
    <s v="0705.11"/>
    <n v="245"/>
    <n v="111.13003999999999"/>
    <n v="250.25"/>
  </r>
  <r>
    <s v="MATS6280192-000"/>
    <s v="US , CA"/>
    <x v="0"/>
    <x v="0"/>
    <x v="0"/>
    <x v="23"/>
    <s v="0705.11"/>
    <n v="350"/>
    <n v="158.75720000000001"/>
    <n v="397.5"/>
  </r>
  <r>
    <s v="MATS6280192-000"/>
    <s v="US , CA"/>
    <x v="0"/>
    <x v="0"/>
    <x v="0"/>
    <x v="12"/>
    <s v="0706.10"/>
    <n v="100"/>
    <n v="45.359200000000001"/>
    <n v="87.5"/>
  </r>
  <r>
    <s v="MATS6280192-000"/>
    <s v="US , CA"/>
    <x v="0"/>
    <x v="0"/>
    <x v="0"/>
    <x v="12"/>
    <s v="0706.10"/>
    <n v="100"/>
    <n v="45.359200000000001"/>
    <n v="87.5"/>
  </r>
  <r>
    <s v="MATS6280192-000"/>
    <s v="US , CA"/>
    <x v="0"/>
    <x v="0"/>
    <x v="0"/>
    <x v="80"/>
    <s v="0708.10"/>
    <n v="10"/>
    <n v="4.53592"/>
    <n v="37.75"/>
  </r>
  <r>
    <s v="MATS6280192-000"/>
    <s v="US , CA"/>
    <x v="0"/>
    <x v="0"/>
    <x v="0"/>
    <x v="80"/>
    <s v="0708.10"/>
    <n v="10"/>
    <n v="4.53592"/>
    <n v="37.75"/>
  </r>
  <r>
    <s v="MATS6280192-000"/>
    <s v="US , CA"/>
    <x v="0"/>
    <x v="0"/>
    <x v="0"/>
    <x v="21"/>
    <s v="0709.40"/>
    <n v="60"/>
    <n v="27.215519999999998"/>
    <n v="35.75"/>
  </r>
  <r>
    <s v="MATS6280192-000"/>
    <s v="US , CA"/>
    <x v="0"/>
    <x v="0"/>
    <x v="0"/>
    <x v="21"/>
    <s v="0709.40"/>
    <n v="60"/>
    <n v="27.215519999999998"/>
    <n v="35.75"/>
  </r>
  <r>
    <s v="MATS6280192-000"/>
    <s v="US , CA"/>
    <x v="0"/>
    <x v="0"/>
    <x v="0"/>
    <x v="10"/>
    <s v="0709.51"/>
    <n v="48"/>
    <n v="21.772416"/>
    <n v="264"/>
  </r>
  <r>
    <s v="MATS6280192-000"/>
    <s v="US , CA"/>
    <x v="0"/>
    <x v="0"/>
    <x v="0"/>
    <x v="10"/>
    <s v="0709.51"/>
    <n v="60"/>
    <n v="27.215519999999998"/>
    <n v="330"/>
  </r>
  <r>
    <s v="MATS6280192-000"/>
    <s v="US , CA"/>
    <x v="0"/>
    <x v="0"/>
    <x v="0"/>
    <x v="24"/>
    <s v="0709.60"/>
    <n v="19.5"/>
    <n v="8.8450439999999997"/>
    <n v="44.75"/>
  </r>
  <r>
    <s v="MATS6280192-000"/>
    <s v="US , CA"/>
    <x v="0"/>
    <x v="0"/>
    <x v="0"/>
    <x v="24"/>
    <s v="0709.60"/>
    <n v="25"/>
    <n v="11.3398"/>
    <n v="43.75"/>
  </r>
  <r>
    <s v="MATS6280192-000"/>
    <s v="US , CA"/>
    <x v="0"/>
    <x v="0"/>
    <x v="0"/>
    <x v="47"/>
    <s v="0709.99"/>
    <n v="15"/>
    <n v="6.8038799999999995"/>
    <n v="37.75"/>
  </r>
  <r>
    <s v="MATS6280192-000"/>
    <s v="US , CA"/>
    <x v="0"/>
    <x v="0"/>
    <x v="0"/>
    <x v="25"/>
    <s v="0709.93"/>
    <n v="22"/>
    <n v="9.979023999999999"/>
    <n v="30.75"/>
  </r>
  <r>
    <s v="MATS6280192-000"/>
    <s v="US , CA"/>
    <x v="0"/>
    <x v="0"/>
    <x v="0"/>
    <x v="47"/>
    <s v="0709.99"/>
    <n v="6"/>
    <n v="2.721552"/>
    <n v="25.36"/>
  </r>
  <r>
    <s v="MATS6280192-000"/>
    <s v="US , CA"/>
    <x v="0"/>
    <x v="0"/>
    <x v="0"/>
    <x v="25"/>
    <s v="0709.93"/>
    <n v="44"/>
    <n v="19.958047999999998"/>
    <n v="61.5"/>
  </r>
  <r>
    <s v="MATS6280192-000"/>
    <s v="US , CA"/>
    <x v="0"/>
    <x v="0"/>
    <x v="0"/>
    <x v="14"/>
    <s v="0805.10"/>
    <n v="228"/>
    <n v="103.418976"/>
    <n v="350.7"/>
  </r>
  <r>
    <s v="MATS6280192-000"/>
    <s v="US , CA"/>
    <x v="0"/>
    <x v="0"/>
    <x v="0"/>
    <x v="64"/>
    <s v="0805.50"/>
    <n v="114"/>
    <n v="51.709488"/>
    <n v="131.25"/>
  </r>
  <r>
    <s v="MATS6280192-000"/>
    <s v="US , CA"/>
    <x v="0"/>
    <x v="0"/>
    <x v="0"/>
    <x v="64"/>
    <s v="0805.50"/>
    <n v="190"/>
    <n v="86.182479999999998"/>
    <n v="218.75"/>
  </r>
  <r>
    <s v="MATS6280192-000"/>
    <s v="US , CA"/>
    <x v="0"/>
    <x v="0"/>
    <x v="0"/>
    <x v="64"/>
    <s v="0805.50"/>
    <n v="190"/>
    <n v="86.182479999999998"/>
    <n v="208.75"/>
  </r>
  <r>
    <s v="MATS6280192-000"/>
    <s v="US , CA"/>
    <x v="0"/>
    <x v="0"/>
    <x v="0"/>
    <x v="29"/>
    <s v="0806.10"/>
    <n v="76"/>
    <n v="34.472991999999998"/>
    <n v="175"/>
  </r>
  <r>
    <s v="MATS6280192-000"/>
    <s v="US , CA"/>
    <x v="0"/>
    <x v="0"/>
    <x v="0"/>
    <x v="29"/>
    <s v="0806.10"/>
    <n v="38"/>
    <n v="17.236495999999999"/>
    <n v="87.5"/>
  </r>
  <r>
    <s v="MATS6280192-000"/>
    <s v="US , CA"/>
    <x v="0"/>
    <x v="0"/>
    <x v="0"/>
    <x v="29"/>
    <s v="0806.10"/>
    <n v="38"/>
    <n v="17.236495999999999"/>
    <n v="87.5"/>
  </r>
  <r>
    <s v="MATS6280192-000"/>
    <s v="US , CA"/>
    <x v="0"/>
    <x v="0"/>
    <x v="0"/>
    <x v="57"/>
    <s v="0808.10"/>
    <n v="120"/>
    <n v="54.431039999999996"/>
    <n v="183.75"/>
  </r>
  <r>
    <s v="MATS6280192-000"/>
    <s v="US , CA"/>
    <x v="0"/>
    <x v="0"/>
    <x v="0"/>
    <x v="57"/>
    <s v="0808.10"/>
    <n v="120"/>
    <n v="54.431039999999996"/>
    <n v="246.25"/>
  </r>
  <r>
    <s v="MATS6280192-000"/>
    <s v="US , CA"/>
    <x v="0"/>
    <x v="0"/>
    <x v="0"/>
    <x v="57"/>
    <s v="0808.10"/>
    <n v="120"/>
    <n v="54.431039999999996"/>
    <n v="183.75"/>
  </r>
  <r>
    <s v="MATS6280192-000"/>
    <s v="US , CA"/>
    <x v="0"/>
    <x v="0"/>
    <x v="0"/>
    <x v="91"/>
    <s v="1202.00"/>
    <n v="250"/>
    <n v="113.398"/>
    <n v="410"/>
  </r>
  <r>
    <s v="SMA01224868"/>
    <s v="MP , Saipan"/>
    <x v="20"/>
    <x v="6"/>
    <x v="1"/>
    <x v="24"/>
    <s v="0709.60"/>
    <n v="11"/>
    <n v="4.9895119999999995"/>
    <n v="100"/>
  </r>
  <r>
    <s v="016YAP15147414"/>
    <s v="FM , Yap"/>
    <x v="22"/>
    <x v="18"/>
    <x v="1"/>
    <x v="116"/>
    <s v="0802.80"/>
    <n v="100"/>
    <n v="45.359200000000001"/>
    <n v="100"/>
  </r>
  <r>
    <s v="016YAP15147414"/>
    <s v="FM , Yap"/>
    <x v="22"/>
    <x v="18"/>
    <x v="1"/>
    <x v="117"/>
    <s v="1404.90"/>
    <n v="10"/>
    <n v="4.53592"/>
    <n v="10"/>
  </r>
  <r>
    <s v="016YAP15147462"/>
    <s v="FM , Yap"/>
    <x v="22"/>
    <x v="18"/>
    <x v="1"/>
    <x v="116"/>
    <s v="0802.80"/>
    <n v="229"/>
    <n v="103.872568"/>
    <n v="229"/>
  </r>
  <r>
    <s v="016YAP15147506"/>
    <s v="FM , Yap"/>
    <x v="22"/>
    <x v="18"/>
    <x v="1"/>
    <x v="116"/>
    <s v="0802.80"/>
    <n v="732"/>
    <n v="332.02934399999998"/>
    <n v="732"/>
  </r>
  <r>
    <s v="016YAP15147506"/>
    <s v="FM , Yap"/>
    <x v="22"/>
    <x v="18"/>
    <x v="1"/>
    <x v="117"/>
    <s v="1404.90"/>
    <n v="30"/>
    <n v="13.607759999999999"/>
    <n v="30"/>
  </r>
  <r>
    <s v="016YAP17105222"/>
    <s v="FM , Yap"/>
    <x v="22"/>
    <x v="18"/>
    <x v="1"/>
    <x v="116"/>
    <s v="0802.80"/>
    <n v="186"/>
    <n v="84.368111999999996"/>
    <n v="300"/>
  </r>
  <r>
    <s v="016YAP17105222"/>
    <s v="FM , Yap"/>
    <x v="22"/>
    <x v="18"/>
    <x v="1"/>
    <x v="117"/>
    <s v="1404.90"/>
    <n v="18"/>
    <n v="8.1646560000000008"/>
    <n v="100"/>
  </r>
  <r>
    <s v="016YAP17105270"/>
    <s v="FM , Yap"/>
    <x v="22"/>
    <x v="18"/>
    <x v="1"/>
    <x v="116"/>
    <s v="0802.80"/>
    <n v="500"/>
    <n v="226.79599999999999"/>
    <n v="1250"/>
  </r>
  <r>
    <s v="016YAP17105270"/>
    <s v="FM , Yap"/>
    <x v="22"/>
    <x v="18"/>
    <x v="1"/>
    <x v="117"/>
    <s v="0904.11"/>
    <n v="10"/>
    <n v="4.53592"/>
    <n v="357.5"/>
  </r>
  <r>
    <s v="016YAP17105336"/>
    <s v="FM , Yap"/>
    <x v="22"/>
    <x v="18"/>
    <x v="1"/>
    <x v="116"/>
    <s v="0802.80"/>
    <n v="100"/>
    <n v="45.359200000000001"/>
    <n v="100"/>
  </r>
  <r>
    <s v="016YAP17105336"/>
    <s v="FM , Yap"/>
    <x v="22"/>
    <x v="18"/>
    <x v="1"/>
    <x v="117"/>
    <s v="0904.11"/>
    <n v="30"/>
    <n v="13.607759999999999"/>
    <n v="20"/>
  </r>
  <r>
    <s v="016YAP17105351"/>
    <s v="FM , Yap"/>
    <x v="22"/>
    <x v="18"/>
    <x v="1"/>
    <x v="116"/>
    <s v="0802.80"/>
    <n v="235"/>
    <n v="106.59412"/>
    <n v="395.9"/>
  </r>
  <r>
    <s v="016YAP17105443"/>
    <s v="FM , Yap"/>
    <x v="22"/>
    <x v="18"/>
    <x v="1"/>
    <x v="116"/>
    <s v="0802.80"/>
    <n v="200"/>
    <n v="90.718400000000003"/>
    <n v="300"/>
  </r>
  <r>
    <s v="016YAP17105443"/>
    <s v="FM , Yap"/>
    <x v="22"/>
    <x v="18"/>
    <x v="1"/>
    <x v="117"/>
    <s v="0904.11"/>
    <n v="14"/>
    <n v="6.3502879999999999"/>
    <n v="78"/>
  </r>
  <r>
    <s v="016YAP17105465"/>
    <s v="FM , Yap"/>
    <x v="22"/>
    <x v="18"/>
    <x v="1"/>
    <x v="116"/>
    <s v="0802.80"/>
    <n v="340"/>
    <n v="154.22128000000001"/>
    <n v="200"/>
  </r>
  <r>
    <s v="016YAP17105480"/>
    <s v="FM , Yap"/>
    <x v="22"/>
    <x v="18"/>
    <x v="1"/>
    <x v="116"/>
    <s v="0802.80"/>
    <n v="500"/>
    <n v="226.79599999999999"/>
    <n v="1250"/>
  </r>
  <r>
    <s v="016YAP17105480"/>
    <s v="FM , Yap"/>
    <x v="22"/>
    <x v="18"/>
    <x v="1"/>
    <x v="117"/>
    <s v="0904.11"/>
    <n v="57"/>
    <n v="25.854744"/>
    <n v="370.5"/>
  </r>
  <r>
    <s v="016YAP17105491"/>
    <s v="FM , Yap"/>
    <x v="22"/>
    <x v="18"/>
    <x v="1"/>
    <x v="116"/>
    <s v="0802.80"/>
    <n v="107"/>
    <n v="48.534343999999997"/>
    <n v="300"/>
  </r>
  <r>
    <s v="016YAP17105546"/>
    <s v="FM , Yap"/>
    <x v="22"/>
    <x v="18"/>
    <x v="1"/>
    <x v="116"/>
    <s v="0802.80"/>
    <n v="144"/>
    <n v="65.317248000000006"/>
    <n v="144"/>
  </r>
  <r>
    <s v="016YAP17105594"/>
    <s v="FM , Yap"/>
    <x v="22"/>
    <x v="18"/>
    <x v="1"/>
    <x v="116"/>
    <s v="0802.80"/>
    <n v="224"/>
    <n v="101.604608"/>
    <n v="315"/>
  </r>
  <r>
    <s v="016YAP17105594"/>
    <s v="FM , Yap"/>
    <x v="22"/>
    <x v="18"/>
    <x v="1"/>
    <x v="117"/>
    <s v="0904.11"/>
    <n v="16"/>
    <n v="7.2574719999999999"/>
    <n v="76"/>
  </r>
  <r>
    <s v="016YAP17105605"/>
    <s v="FM , Yap"/>
    <x v="22"/>
    <x v="18"/>
    <x v="1"/>
    <x v="116"/>
    <s v="0802.80"/>
    <n v="290"/>
    <n v="131.54167999999999"/>
    <n v="290"/>
  </r>
  <r>
    <s v="016YAP17105605"/>
    <s v="FM , Yap"/>
    <x v="22"/>
    <x v="18"/>
    <x v="1"/>
    <x v="117"/>
    <s v="0904.11"/>
    <n v="9"/>
    <n v="4.0823280000000004"/>
    <n v="9"/>
  </r>
  <r>
    <s v="016YAP24911434"/>
    <s v="FM , Yap"/>
    <x v="22"/>
    <x v="18"/>
    <x v="1"/>
    <x v="116"/>
    <s v="0802.80"/>
    <n v="140"/>
    <n v="63.502879999999998"/>
    <n v="400"/>
  </r>
  <r>
    <s v="016YAP24911434"/>
    <s v="FM , Yap"/>
    <x v="22"/>
    <x v="18"/>
    <x v="1"/>
    <x v="117"/>
    <s v="0904.11"/>
    <n v="4"/>
    <n v="1.814368"/>
    <n v="100"/>
  </r>
  <r>
    <s v="016YAP24911445"/>
    <s v="FM , Yap"/>
    <x v="22"/>
    <x v="18"/>
    <x v="1"/>
    <x v="116"/>
    <s v="0802.80"/>
    <n v="120"/>
    <n v="54.431039999999996"/>
    <n v="120"/>
  </r>
  <r>
    <s v="016YAP24911445"/>
    <s v="FM , Yap"/>
    <x v="22"/>
    <x v="18"/>
    <x v="1"/>
    <x v="117"/>
    <s v="0904.11"/>
    <n v="13"/>
    <n v="5.8966960000000004"/>
    <n v="13"/>
  </r>
  <r>
    <s v="016YAP24911456"/>
    <s v="FM , Yap"/>
    <x v="22"/>
    <x v="18"/>
    <x v="1"/>
    <x v="116"/>
    <s v="0802.80"/>
    <n v="90"/>
    <n v="40.823279999999997"/>
    <n v="120"/>
  </r>
  <r>
    <s v="016YAP24911456"/>
    <s v="FM , Yap"/>
    <x v="22"/>
    <x v="18"/>
    <x v="1"/>
    <x v="117"/>
    <s v="0904.11"/>
    <n v="4"/>
    <n v="1.814368"/>
    <n v="40"/>
  </r>
  <r>
    <s v="016YAP24911530"/>
    <s v="FM , Yap"/>
    <x v="22"/>
    <x v="18"/>
    <x v="1"/>
    <x v="116"/>
    <s v="0802.80"/>
    <n v="95"/>
    <n v="43.091239999999999"/>
    <n v="95"/>
  </r>
  <r>
    <s v="016YAP24911563"/>
    <s v="FM , Yap"/>
    <x v="22"/>
    <x v="18"/>
    <x v="1"/>
    <x v="116"/>
    <s v="0802.80"/>
    <n v="680"/>
    <n v="308.44256000000001"/>
    <n v="680"/>
  </r>
  <r>
    <s v="016YAP24911563"/>
    <s v="FM , Yap"/>
    <x v="22"/>
    <x v="18"/>
    <x v="1"/>
    <x v="117"/>
    <s v="0904.11"/>
    <n v="35"/>
    <n v="15.875719999999999"/>
    <n v="35"/>
  </r>
  <r>
    <s v="016YAP24911600"/>
    <s v="FM , Yap"/>
    <x v="22"/>
    <x v="18"/>
    <x v="1"/>
    <x v="116"/>
    <s v="0802.80"/>
    <n v="100"/>
    <n v="45.359200000000001"/>
    <n v="100"/>
  </r>
  <r>
    <s v="016YAP24911600"/>
    <s v="FM , Yap"/>
    <x v="22"/>
    <x v="18"/>
    <x v="1"/>
    <x v="117"/>
    <s v="0904.11"/>
    <n v="18"/>
    <n v="8.1646560000000008"/>
    <n v="18"/>
  </r>
  <r>
    <s v="016YAP24911611"/>
    <s v="FM , Yap"/>
    <x v="22"/>
    <x v="18"/>
    <x v="1"/>
    <x v="116"/>
    <s v="0802.80"/>
    <n v="204"/>
    <n v="92.532768000000004"/>
    <n v="204"/>
  </r>
  <r>
    <s v="016YAP24911611"/>
    <s v="FM , Yap"/>
    <x v="22"/>
    <x v="18"/>
    <x v="1"/>
    <x v="117"/>
    <s v="0904.11"/>
    <n v="10"/>
    <n v="4.53592"/>
    <n v="10"/>
  </r>
  <r>
    <s v="016YAP24911666"/>
    <s v="FM , Yap"/>
    <x v="22"/>
    <x v="18"/>
    <x v="1"/>
    <x v="116"/>
    <s v="0802.80"/>
    <n v="189"/>
    <n v="85.728887999999998"/>
    <n v="267"/>
  </r>
  <r>
    <s v="016YAP24911666"/>
    <s v="FM , Yap"/>
    <x v="22"/>
    <x v="18"/>
    <x v="1"/>
    <x v="117"/>
    <s v="0904.11"/>
    <n v="16"/>
    <n v="7.2574719999999999"/>
    <n v="97.5"/>
  </r>
  <r>
    <s v="016YAP24911714"/>
    <s v="FM , Yap"/>
    <x v="22"/>
    <x v="18"/>
    <x v="1"/>
    <x v="116"/>
    <s v="0802.80"/>
    <n v="280"/>
    <n v="127.00576"/>
    <n v="700"/>
  </r>
  <r>
    <s v="016YAP24911714"/>
    <s v="FM , Yap"/>
    <x v="22"/>
    <x v="18"/>
    <x v="1"/>
    <x v="117"/>
    <s v="0904.11"/>
    <n v="31"/>
    <n v="14.061351999999999"/>
    <n v="201.5"/>
  </r>
  <r>
    <s v="016YAP95307531"/>
    <s v="FM , Yap"/>
    <x v="22"/>
    <x v="18"/>
    <x v="1"/>
    <x v="116"/>
    <s v="0802.80"/>
    <n v="2672"/>
    <n v="1211.997824"/>
    <n v="6680"/>
  </r>
  <r>
    <s v="016YAP95307531"/>
    <s v="FM , Yap"/>
    <x v="22"/>
    <x v="18"/>
    <x v="1"/>
    <x v="117"/>
    <s v="0904.11"/>
    <n v="570"/>
    <n v="258.54743999999999"/>
    <n v="2855"/>
  </r>
  <r>
    <s v="016YAP95307542"/>
    <s v="FM , Yap"/>
    <x v="22"/>
    <x v="18"/>
    <x v="1"/>
    <x v="116"/>
    <s v="0802.80"/>
    <n v="300"/>
    <n v="136.07759999999999"/>
    <n v="300"/>
  </r>
  <r>
    <s v="016YAP95307542"/>
    <s v="FM , Yap"/>
    <x v="22"/>
    <x v="18"/>
    <x v="1"/>
    <x v="117"/>
    <s v="0904.11"/>
    <n v="90"/>
    <n v="40.823279999999997"/>
    <n v="27"/>
  </r>
  <r>
    <s v="016YAP95307656"/>
    <s v="FM , Yap"/>
    <x v="22"/>
    <x v="18"/>
    <x v="1"/>
    <x v="116"/>
    <s v="0802.80"/>
    <n v="230"/>
    <n v="104.32616"/>
    <n v="230"/>
  </r>
  <r>
    <s v="016YAP95307656"/>
    <s v="FM , Yap"/>
    <x v="22"/>
    <x v="18"/>
    <x v="1"/>
    <x v="117"/>
    <s v="0904.11"/>
    <n v="100"/>
    <n v="45.359200000000001"/>
    <n v="30"/>
  </r>
  <r>
    <s v="MATS6281458-000"/>
    <s v="MX"/>
    <x v="2"/>
    <x v="2"/>
    <x v="1"/>
    <x v="27"/>
    <s v="0804.40"/>
    <n v="36"/>
    <n v="16.329312000000002"/>
    <n v="2160"/>
  </r>
  <r>
    <s v="MATS6281458-000"/>
    <s v="US"/>
    <x v="0"/>
    <x v="0"/>
    <x v="0"/>
    <x v="29"/>
    <s v="0806.10"/>
    <n v="100"/>
    <n v="45.359200000000001"/>
    <n v="3500"/>
  </r>
  <r>
    <s v="MATS6281458-000"/>
    <s v="US"/>
    <x v="0"/>
    <x v="0"/>
    <x v="0"/>
    <x v="67"/>
    <s v="0805.40"/>
    <n v="9"/>
    <n v="4.0823280000000004"/>
    <n v="319.5"/>
  </r>
  <r>
    <s v="MATS6281458-000"/>
    <s v="CL"/>
    <x v="11"/>
    <x v="11"/>
    <x v="1"/>
    <x v="65"/>
    <s v="0810.50"/>
    <n v="15"/>
    <n v="6.8038799999999995"/>
    <n v="690"/>
  </r>
  <r>
    <s v="MATS6281458-000"/>
    <s v="NZ"/>
    <x v="4"/>
    <x v="4"/>
    <x v="1"/>
    <x v="65"/>
    <s v="0810.50"/>
    <n v="80"/>
    <n v="36.28736"/>
    <n v="1985"/>
  </r>
  <r>
    <s v="MATS6281458-000"/>
    <s v="US"/>
    <x v="0"/>
    <x v="0"/>
    <x v="0"/>
    <x v="64"/>
    <s v="0805.50"/>
    <n v="117"/>
    <n v="53.070264000000002"/>
    <n v="3451.5"/>
  </r>
  <r>
    <s v="MATS6281458-000"/>
    <s v="MX"/>
    <x v="2"/>
    <x v="2"/>
    <x v="1"/>
    <x v="69"/>
    <s v="0805.50"/>
    <n v="25"/>
    <n v="11.3398"/>
    <n v="1050"/>
  </r>
  <r>
    <s v="MATS6281458-000"/>
    <s v="EC"/>
    <x v="23"/>
    <x v="19"/>
    <x v="1"/>
    <x v="16"/>
    <s v="0804.50"/>
    <n v="325"/>
    <n v="147.41739999999999"/>
    <n v="6825"/>
  </r>
  <r>
    <s v="MATS6281458-000"/>
    <s v="US"/>
    <x v="0"/>
    <x v="0"/>
    <x v="0"/>
    <x v="73"/>
    <s v="0807.19"/>
    <n v="72"/>
    <n v="32.658624000000003"/>
    <n v="1224"/>
  </r>
  <r>
    <s v="MATS6281458-000"/>
    <s v="US"/>
    <x v="0"/>
    <x v="0"/>
    <x v="0"/>
    <x v="74"/>
    <s v="0807.19"/>
    <n v="35"/>
    <n v="15.875719999999999"/>
    <n v="595"/>
  </r>
  <r>
    <s v="MATS6281458-000"/>
    <s v="MX"/>
    <x v="2"/>
    <x v="2"/>
    <x v="1"/>
    <x v="76"/>
    <s v="0807.11"/>
    <n v="28"/>
    <n v="12.700576"/>
    <n v="840"/>
  </r>
  <r>
    <s v="MATS6281458-000"/>
    <s v="CR"/>
    <x v="12"/>
    <x v="12"/>
    <x v="1"/>
    <x v="75"/>
    <s v="0804.30"/>
    <n v="40"/>
    <n v="18.14368"/>
    <n v="720"/>
  </r>
  <r>
    <s v="MATS6281458-000"/>
    <s v="MX"/>
    <x v="2"/>
    <x v="2"/>
    <x v="1"/>
    <x v="0"/>
    <s v="0709.20"/>
    <n v="40"/>
    <n v="18.14368"/>
    <n v="1400"/>
  </r>
  <r>
    <s v="MATS6281458-000"/>
    <s v="MX"/>
    <x v="2"/>
    <x v="2"/>
    <x v="1"/>
    <x v="58"/>
    <s v="0706.90"/>
    <n v="12"/>
    <n v="5.4431039999999999"/>
    <n v="168"/>
  </r>
  <r>
    <s v="MATS6281458-000"/>
    <s v="MX"/>
    <x v="2"/>
    <x v="2"/>
    <x v="1"/>
    <x v="24"/>
    <s v="0709.60"/>
    <n v="207"/>
    <n v="93.893544000000006"/>
    <n v="3732"/>
  </r>
  <r>
    <s v="MATS6281458-000"/>
    <s v="US"/>
    <x v="0"/>
    <x v="0"/>
    <x v="0"/>
    <x v="35"/>
    <s v="0704.90"/>
    <n v="35"/>
    <n v="15.875719999999999"/>
    <n v="1076.25"/>
  </r>
  <r>
    <s v="MATS6281458-000"/>
    <s v="US"/>
    <x v="0"/>
    <x v="0"/>
    <x v="0"/>
    <x v="12"/>
    <s v="0706.10"/>
    <n v="40"/>
    <n v="18.14368"/>
    <n v="1030"/>
  </r>
  <r>
    <s v="MATS6281458-000"/>
    <s v="US"/>
    <x v="0"/>
    <x v="0"/>
    <x v="0"/>
    <x v="21"/>
    <s v="0709.40"/>
    <n v="44"/>
    <n v="19.958047999999998"/>
    <n v="752"/>
  </r>
  <r>
    <s v="MATS6281458-000"/>
    <s v="MX"/>
    <x v="2"/>
    <x v="2"/>
    <x v="1"/>
    <x v="24"/>
    <s v="0709.60"/>
    <n v="45"/>
    <n v="20.411639999999998"/>
    <n v="537.75"/>
  </r>
  <r>
    <s v="MATS6281458-000"/>
    <s v="US"/>
    <x v="0"/>
    <x v="0"/>
    <x v="0"/>
    <x v="24"/>
    <s v="0709.60"/>
    <n v="9"/>
    <n v="4.0823280000000004"/>
    <n v="107.55"/>
  </r>
  <r>
    <s v="MATS6281458-000"/>
    <s v="MX"/>
    <x v="2"/>
    <x v="2"/>
    <x v="1"/>
    <x v="68"/>
    <s v="0709.99"/>
    <n v="12"/>
    <n v="5.4431039999999999"/>
    <n v="143.4"/>
  </r>
  <r>
    <s v="MATS6281458-000"/>
    <s v="ES"/>
    <x v="19"/>
    <x v="17"/>
    <x v="1"/>
    <x v="43"/>
    <s v="0703.20"/>
    <n v="8"/>
    <n v="3.628736"/>
    <n v="612"/>
  </r>
  <r>
    <s v="MATS6281458-000"/>
    <s v="CH"/>
    <x v="24"/>
    <x v="20"/>
    <x v="1"/>
    <x v="77"/>
    <s v="0910.11"/>
    <n v="21"/>
    <n v="9.5254320000000003"/>
    <n v="840"/>
  </r>
  <r>
    <s v="MATS6281458-000"/>
    <s v="US"/>
    <x v="0"/>
    <x v="0"/>
    <x v="0"/>
    <x v="10"/>
    <s v="0709.51"/>
    <n v="37"/>
    <n v="16.782903999999998"/>
    <n v="794.5"/>
  </r>
  <r>
    <s v="MATS6281458-000"/>
    <s v="US"/>
    <x v="0"/>
    <x v="0"/>
    <x v="0"/>
    <x v="22"/>
    <s v="0703.90"/>
    <n v="110"/>
    <n v="49.895119999999999"/>
    <n v="3190"/>
  </r>
  <r>
    <s v="MATS6281458-000"/>
    <s v="US"/>
    <x v="0"/>
    <x v="0"/>
    <x v="0"/>
    <x v="32"/>
    <s v="0703.10"/>
    <n v="40"/>
    <n v="18.14368"/>
    <n v="775"/>
  </r>
  <r>
    <s v="MATS6281458-000"/>
    <s v="US"/>
    <x v="0"/>
    <x v="0"/>
    <x v="0"/>
    <x v="20"/>
    <s v="0706.90"/>
    <n v="12"/>
    <n v="5.4431039999999999"/>
    <n v="300"/>
  </r>
  <r>
    <s v="MATS6281458-000"/>
    <s v="CR"/>
    <x v="12"/>
    <x v="12"/>
    <x v="1"/>
    <x v="88"/>
    <s v="0714.40"/>
    <n v="12"/>
    <n v="5.4431039999999999"/>
    <n v="456"/>
  </r>
  <r>
    <s v="MATS6281458-000"/>
    <s v="US"/>
    <x v="0"/>
    <x v="0"/>
    <x v="0"/>
    <x v="25"/>
    <s v="0709.93"/>
    <n v="24"/>
    <n v="10.886208"/>
    <n v="537"/>
  </r>
  <r>
    <s v="MATS6281458-000"/>
    <s v="MX"/>
    <x v="2"/>
    <x v="2"/>
    <x v="1"/>
    <x v="25"/>
    <s v="0709.93"/>
    <n v="7"/>
    <n v="3.175144"/>
    <n v="105"/>
  </r>
  <r>
    <s v="MATS6281458-000"/>
    <s v="MX"/>
    <x v="2"/>
    <x v="2"/>
    <x v="1"/>
    <x v="11"/>
    <s v="0702.00"/>
    <n v="152"/>
    <n v="68.945983999999996"/>
    <n v="3504"/>
  </r>
  <r>
    <s v="MATS6281458-000"/>
    <s v="US"/>
    <x v="0"/>
    <x v="0"/>
    <x v="0"/>
    <x v="63"/>
    <s v="0714.30"/>
    <n v="30"/>
    <n v="13.607759999999999"/>
    <n v="808.5"/>
  </r>
  <r>
    <s v="MATS6281458-000"/>
    <s v="US"/>
    <x v="0"/>
    <x v="0"/>
    <x v="0"/>
    <x v="60"/>
    <s v="0714.20"/>
    <n v="35"/>
    <n v="15.875719999999999"/>
    <n v="1706.25"/>
  </r>
  <r>
    <s v="MATS6281458-000"/>
    <s v="BR"/>
    <x v="18"/>
    <x v="16"/>
    <x v="1"/>
    <x v="77"/>
    <s v="0910.11"/>
    <n v="8"/>
    <n v="3.628736"/>
    <n v="266"/>
  </r>
  <r>
    <s v="MATS9358914-000"/>
    <s v="US"/>
    <x v="0"/>
    <x v="0"/>
    <x v="0"/>
    <x v="57"/>
    <s v="0808.10"/>
    <n v="54"/>
    <n v="24.493967999999999"/>
    <n v="1567.4"/>
  </r>
  <r>
    <s v="MATS9358914-000"/>
    <s v="US"/>
    <x v="0"/>
    <x v="0"/>
    <x v="0"/>
    <x v="35"/>
    <s v="0704.90"/>
    <n v="9"/>
    <n v="4.0823280000000004"/>
    <n v="236.25"/>
  </r>
  <r>
    <s v="MATS9358914-000"/>
    <s v="US"/>
    <x v="0"/>
    <x v="0"/>
    <x v="0"/>
    <x v="65"/>
    <s v="0810.50"/>
    <n v="46"/>
    <n v="20.865231999999999"/>
    <n v="841.8"/>
  </r>
  <r>
    <s v="MATS9358914-000"/>
    <s v="US"/>
    <x v="0"/>
    <x v="0"/>
    <x v="0"/>
    <x v="72"/>
    <s v="0808.30"/>
    <n v="5"/>
    <n v="2.26796"/>
    <n v="194.5"/>
  </r>
  <r>
    <s v="MATS9358914-000"/>
    <s v="US"/>
    <x v="0"/>
    <x v="0"/>
    <x v="0"/>
    <x v="43"/>
    <s v="0703.20"/>
    <n v="1"/>
    <n v="0.453592"/>
    <n v="98.1"/>
  </r>
  <r>
    <s v="MATS9358914-000"/>
    <s v="US"/>
    <x v="0"/>
    <x v="0"/>
    <x v="0"/>
    <x v="14"/>
    <s v="0805.10"/>
    <n v="39"/>
    <n v="17.690087999999999"/>
    <n v="1737.45"/>
  </r>
  <r>
    <s v="MATS9244262-000"/>
    <s v="US"/>
    <x v="0"/>
    <x v="0"/>
    <x v="0"/>
    <x v="12"/>
    <s v="0706.10"/>
    <n v="10"/>
    <n v="4.53592"/>
    <n v="366"/>
  </r>
  <r>
    <s v="MATS9244262-000"/>
    <s v="US"/>
    <x v="0"/>
    <x v="0"/>
    <x v="0"/>
    <x v="73"/>
    <s v="0807.19"/>
    <n v="95"/>
    <n v="43.091239999999999"/>
    <n v="1800.25"/>
  </r>
  <r>
    <s v="MATS9244262-000"/>
    <s v="US"/>
    <x v="0"/>
    <x v="0"/>
    <x v="0"/>
    <x v="77"/>
    <s v="0910.11"/>
    <n v="1"/>
    <n v="0.453592"/>
    <n v="88.25"/>
  </r>
  <r>
    <s v="MATS9244262-000"/>
    <s v="US"/>
    <x v="0"/>
    <x v="0"/>
    <x v="0"/>
    <x v="67"/>
    <s v="0805.40"/>
    <n v="9"/>
    <n v="4.0823280000000004"/>
    <n v="532.35"/>
  </r>
  <r>
    <s v="MATS9244262-000"/>
    <s v="US"/>
    <x v="0"/>
    <x v="0"/>
    <x v="0"/>
    <x v="74"/>
    <s v="0807.19"/>
    <n v="34"/>
    <n v="15.422128000000001"/>
    <n v="644.29999999999995"/>
  </r>
  <r>
    <s v="MATS9244262-000"/>
    <s v="US"/>
    <x v="0"/>
    <x v="0"/>
    <x v="0"/>
    <x v="64"/>
    <s v="0805.50"/>
    <n v="7"/>
    <n v="3.175144"/>
    <n v="290.5"/>
  </r>
  <r>
    <s v="MATS9244262-000"/>
    <s v="US"/>
    <x v="0"/>
    <x v="0"/>
    <x v="0"/>
    <x v="32"/>
    <s v="0703.10"/>
    <n v="22"/>
    <n v="9.979023999999999"/>
    <n v="455.2"/>
  </r>
  <r>
    <s v="MATS9244262-000"/>
    <s v="US"/>
    <x v="0"/>
    <x v="0"/>
    <x v="0"/>
    <x v="66"/>
    <s v="0701.00"/>
    <n v="14"/>
    <n v="6.3502879999999999"/>
    <n v="282"/>
  </r>
  <r>
    <s v="MATS9244262-000"/>
    <s v="US"/>
    <x v="0"/>
    <x v="0"/>
    <x v="0"/>
    <x v="76"/>
    <s v="0807.11"/>
    <n v="63"/>
    <n v="28.576295999999999"/>
    <n v="1537.2"/>
  </r>
  <r>
    <s v="MATS4804737-000"/>
    <s v="US"/>
    <x v="0"/>
    <x v="0"/>
    <x v="0"/>
    <x v="12"/>
    <s v="0706.10"/>
    <n v="14"/>
    <n v="6.3502879999999999"/>
    <n v="512.4"/>
  </r>
  <r>
    <s v="MATS4804737-000"/>
    <s v="US"/>
    <x v="0"/>
    <x v="0"/>
    <x v="0"/>
    <x v="73"/>
    <s v="0807.19"/>
    <n v="127"/>
    <n v="57.606183999999999"/>
    <n v="2406.65"/>
  </r>
  <r>
    <s v="MATS4804737-000"/>
    <s v="US"/>
    <x v="0"/>
    <x v="0"/>
    <x v="0"/>
    <x v="77"/>
    <s v="0910.11"/>
    <n v="2"/>
    <n v="0.90718399999999999"/>
    <n v="176.5"/>
  </r>
  <r>
    <s v="MATS4804737-000"/>
    <s v="US"/>
    <x v="0"/>
    <x v="0"/>
    <x v="0"/>
    <x v="67"/>
    <s v="0805.40"/>
    <n v="9"/>
    <n v="4.0823280000000004"/>
    <n v="532.35"/>
  </r>
  <r>
    <s v="MATS4804737-000"/>
    <s v="US"/>
    <x v="0"/>
    <x v="0"/>
    <x v="0"/>
    <x v="74"/>
    <s v="0807.19"/>
    <n v="120"/>
    <n v="54.431039999999996"/>
    <n v="2274"/>
  </r>
  <r>
    <s v="MATS4804737-000"/>
    <s v="US"/>
    <x v="0"/>
    <x v="0"/>
    <x v="0"/>
    <x v="64"/>
    <s v="0805.50"/>
    <n v="9"/>
    <n v="4.0823280000000004"/>
    <n v="373.5"/>
  </r>
  <r>
    <s v="MATS4804737-000"/>
    <s v="US"/>
    <x v="0"/>
    <x v="0"/>
    <x v="0"/>
    <x v="32"/>
    <s v="0703.10"/>
    <n v="45"/>
    <n v="20.411639999999998"/>
    <n v="1284.5999999999999"/>
  </r>
  <r>
    <s v="MATS4804737-000"/>
    <s v="US"/>
    <x v="0"/>
    <x v="0"/>
    <x v="0"/>
    <x v="66"/>
    <s v="0701.00"/>
    <n v="42"/>
    <n v="19.050864000000001"/>
    <n v="741.75"/>
  </r>
  <r>
    <s v="MATS4804737-000"/>
    <s v="US"/>
    <x v="0"/>
    <x v="0"/>
    <x v="0"/>
    <x v="60"/>
    <s v="0714.20"/>
    <n v="2"/>
    <n v="0.90718399999999999"/>
    <n v="69.599999999999994"/>
  </r>
  <r>
    <s v="MATS4804737-000"/>
    <s v="US"/>
    <x v="0"/>
    <x v="0"/>
    <x v="0"/>
    <x v="76"/>
    <s v="0807.11"/>
    <n v="49"/>
    <n v="22.226008"/>
    <n v="1195.5999999999999"/>
  </r>
  <r>
    <s v="MATS7830760-000"/>
    <s v="US"/>
    <x v="0"/>
    <x v="0"/>
    <x v="0"/>
    <x v="57"/>
    <s v="0808.10"/>
    <n v="50"/>
    <n v="22.679600000000001"/>
    <n v="1384.9"/>
  </r>
  <r>
    <s v="MATS7830760-000"/>
    <s v="US"/>
    <x v="0"/>
    <x v="0"/>
    <x v="0"/>
    <x v="35"/>
    <s v="0704.90"/>
    <n v="18"/>
    <n v="8.1646560000000008"/>
    <n v="479.7"/>
  </r>
  <r>
    <s v="MATS7830760-000"/>
    <s v="US"/>
    <x v="0"/>
    <x v="0"/>
    <x v="0"/>
    <x v="65"/>
    <s v="0810.50"/>
    <n v="56"/>
    <n v="25.401152"/>
    <n v="1024.8"/>
  </r>
  <r>
    <s v="MATS7830760-000"/>
    <s v="US"/>
    <x v="0"/>
    <x v="0"/>
    <x v="0"/>
    <x v="72"/>
    <s v="0808.30"/>
    <n v="4"/>
    <n v="1.814368"/>
    <n v="155.6"/>
  </r>
  <r>
    <s v="MATS7830760-000"/>
    <s v="US"/>
    <x v="0"/>
    <x v="0"/>
    <x v="0"/>
    <x v="43"/>
    <s v="0703.20"/>
    <n v="2"/>
    <n v="0.90718399999999999"/>
    <n v="196.2"/>
  </r>
  <r>
    <s v="MATS7830760-000"/>
    <s v="US"/>
    <x v="0"/>
    <x v="0"/>
    <x v="0"/>
    <x v="14"/>
    <s v="0805.10"/>
    <n v="34"/>
    <n v="15.422128000000001"/>
    <n v="1514.7"/>
  </r>
  <r>
    <s v="MATS5179174-000"/>
    <s v="US"/>
    <x v="0"/>
    <x v="0"/>
    <x v="0"/>
    <x v="57"/>
    <s v="0808.10"/>
    <n v="33"/>
    <n v="14.968536"/>
    <n v="939.95"/>
  </r>
  <r>
    <s v="MATS5179174-000"/>
    <s v="US"/>
    <x v="0"/>
    <x v="0"/>
    <x v="0"/>
    <x v="35"/>
    <s v="0704.90"/>
    <n v="9"/>
    <n v="4.0823280000000004"/>
    <n v="264.20000000000005"/>
  </r>
  <r>
    <s v="MATS5179174-000"/>
    <s v="US"/>
    <x v="0"/>
    <x v="0"/>
    <x v="0"/>
    <x v="65"/>
    <s v="0810.50"/>
    <n v="37"/>
    <n v="16.782903999999998"/>
    <n v="677.1"/>
  </r>
  <r>
    <s v="MATS5179174-000"/>
    <s v="US"/>
    <x v="0"/>
    <x v="0"/>
    <x v="0"/>
    <x v="72"/>
    <s v="0808.30"/>
    <n v="6"/>
    <n v="2.721552"/>
    <n v="233.4"/>
  </r>
  <r>
    <s v="MATS5179174-000"/>
    <s v="US"/>
    <x v="0"/>
    <x v="0"/>
    <x v="0"/>
    <x v="43"/>
    <s v="0703.20"/>
    <n v="1"/>
    <n v="0.453592"/>
    <n v="98.1"/>
  </r>
  <r>
    <s v="MATS5179174-000"/>
    <s v="US"/>
    <x v="0"/>
    <x v="0"/>
    <x v="0"/>
    <x v="14"/>
    <s v="0805.10"/>
    <n v="26"/>
    <n v="11.793392000000001"/>
    <n v="1158.3"/>
  </r>
  <r>
    <s v="MATS5179174-000"/>
    <s v="US"/>
    <x v="0"/>
    <x v="0"/>
    <x v="0"/>
    <x v="12"/>
    <s v="0706.10"/>
    <n v="10"/>
    <n v="4.53592"/>
    <n v="366"/>
  </r>
  <r>
    <s v="MATS5179174-000"/>
    <s v="US"/>
    <x v="0"/>
    <x v="0"/>
    <x v="0"/>
    <x v="73"/>
    <s v="0807.19"/>
    <n v="117"/>
    <n v="53.070264000000002"/>
    <n v="2217.15"/>
  </r>
  <r>
    <s v="MATS5179174-000"/>
    <s v="US"/>
    <x v="0"/>
    <x v="0"/>
    <x v="0"/>
    <x v="77"/>
    <s v="0910.11"/>
    <n v="1"/>
    <n v="0.453592"/>
    <n v="88.25"/>
  </r>
  <r>
    <s v="MATS5179174-000"/>
    <s v="US"/>
    <x v="0"/>
    <x v="0"/>
    <x v="0"/>
    <x v="67"/>
    <s v="0805.40"/>
    <n v="7"/>
    <n v="3.175144"/>
    <n v="414.05"/>
  </r>
  <r>
    <s v="MATS5179174-000"/>
    <s v="US"/>
    <x v="0"/>
    <x v="0"/>
    <x v="0"/>
    <x v="74"/>
    <s v="0807.19"/>
    <n v="85"/>
    <n v="38.555320000000002"/>
    <n v="1610.75"/>
  </r>
  <r>
    <s v="MATS5179174-000"/>
    <s v="US"/>
    <x v="0"/>
    <x v="0"/>
    <x v="0"/>
    <x v="64"/>
    <s v="0805.50"/>
    <n v="7"/>
    <n v="3.175144"/>
    <n v="290.5"/>
  </r>
  <r>
    <s v="MATS5179174-000"/>
    <s v="US"/>
    <x v="0"/>
    <x v="0"/>
    <x v="0"/>
    <x v="32"/>
    <s v="0703.10"/>
    <n v="24"/>
    <n v="10.886208"/>
    <n v="498.5"/>
  </r>
  <r>
    <s v="MATS5179174-000"/>
    <s v="US"/>
    <x v="0"/>
    <x v="0"/>
    <x v="0"/>
    <x v="66"/>
    <s v="0701.00"/>
    <n v="21"/>
    <n v="9.5254320000000003"/>
    <n v="382.75"/>
  </r>
  <r>
    <s v="MATS5179174-000"/>
    <s v="US"/>
    <x v="0"/>
    <x v="0"/>
    <x v="0"/>
    <x v="60"/>
    <s v="0714.20"/>
    <n v="2"/>
    <n v="0.90718399999999999"/>
    <n v="69.599999999999994"/>
  </r>
  <r>
    <s v="MATS5179174-000"/>
    <s v="US"/>
    <x v="0"/>
    <x v="0"/>
    <x v="0"/>
    <x v="76"/>
    <s v="0807.11"/>
    <n v="40"/>
    <n v="18.14368"/>
    <n v="976"/>
  </r>
  <r>
    <s v="MATS2999277-000"/>
    <s v="US"/>
    <x v="0"/>
    <x v="0"/>
    <x v="0"/>
    <x v="57"/>
    <s v="0808.10"/>
    <n v="33"/>
    <n v="14.968536"/>
    <n v="939.95"/>
  </r>
  <r>
    <s v="MATS2999277-000"/>
    <s v="US"/>
    <x v="0"/>
    <x v="0"/>
    <x v="0"/>
    <x v="35"/>
    <s v="0704.90"/>
    <n v="9"/>
    <n v="4.0823280000000004"/>
    <n v="264.20000000000005"/>
  </r>
  <r>
    <s v="MATS2999277-000"/>
    <s v="US"/>
    <x v="0"/>
    <x v="0"/>
    <x v="0"/>
    <x v="65"/>
    <s v="0810.50"/>
    <n v="37"/>
    <n v="16.782903999999998"/>
    <n v="677.1"/>
  </r>
  <r>
    <s v="MATS2999277-000"/>
    <s v="US"/>
    <x v="0"/>
    <x v="0"/>
    <x v="0"/>
    <x v="72"/>
    <s v="0808.30"/>
    <n v="6"/>
    <n v="2.721552"/>
    <n v="233.4"/>
  </r>
  <r>
    <s v="MATS2999277-000"/>
    <s v="US"/>
    <x v="0"/>
    <x v="0"/>
    <x v="0"/>
    <x v="43"/>
    <s v="0703.20"/>
    <n v="1"/>
    <n v="0.453592"/>
    <n v="98.1"/>
  </r>
  <r>
    <s v="MATS2999277-000"/>
    <s v="US"/>
    <x v="0"/>
    <x v="0"/>
    <x v="0"/>
    <x v="14"/>
    <s v="0805.10"/>
    <n v="26"/>
    <n v="11.793392000000001"/>
    <n v="1158.3"/>
  </r>
  <r>
    <s v="MATS2880177-000"/>
    <s v="US"/>
    <x v="0"/>
    <x v="0"/>
    <x v="0"/>
    <x v="12"/>
    <s v="0706.10"/>
    <n v="12"/>
    <n v="5.4431039999999999"/>
    <n v="439.2"/>
  </r>
  <r>
    <s v="MATS2880177-000"/>
    <s v="US"/>
    <x v="0"/>
    <x v="0"/>
    <x v="0"/>
    <x v="73"/>
    <s v="0807.19"/>
    <n v="126"/>
    <n v="57.152591999999999"/>
    <n v="2387.6999999999998"/>
  </r>
  <r>
    <s v="MATS2880177-000"/>
    <s v="US"/>
    <x v="0"/>
    <x v="0"/>
    <x v="0"/>
    <x v="77"/>
    <s v="0910.11"/>
    <n v="1"/>
    <n v="0.453592"/>
    <n v="88.25"/>
  </r>
  <r>
    <s v="MATS2880177-000"/>
    <s v="US"/>
    <x v="0"/>
    <x v="0"/>
    <x v="0"/>
    <x v="67"/>
    <s v="0805.40"/>
    <n v="9"/>
    <n v="4.0823280000000004"/>
    <n v="532.35"/>
  </r>
  <r>
    <s v="MATS2880177-000"/>
    <s v="US"/>
    <x v="0"/>
    <x v="0"/>
    <x v="0"/>
    <x v="74"/>
    <s v="0807.19"/>
    <n v="15"/>
    <n v="6.8038799999999995"/>
    <n v="284.25"/>
  </r>
  <r>
    <s v="MATS2880177-000"/>
    <s v="US"/>
    <x v="0"/>
    <x v="0"/>
    <x v="0"/>
    <x v="64"/>
    <s v="0805.50"/>
    <n v="9"/>
    <n v="4.0823280000000004"/>
    <n v="373.5"/>
  </r>
  <r>
    <s v="MATS2880177-000"/>
    <s v="US"/>
    <x v="0"/>
    <x v="0"/>
    <x v="0"/>
    <x v="32"/>
    <s v="0703.10"/>
    <n v="42"/>
    <n v="19.050864000000001"/>
    <n v="1231.5"/>
  </r>
  <r>
    <s v="MATS2880177-000"/>
    <s v="US"/>
    <x v="0"/>
    <x v="0"/>
    <x v="0"/>
    <x v="66"/>
    <s v="0701.00"/>
    <n v="54"/>
    <n v="24.493967999999999"/>
    <n v="917.55"/>
  </r>
  <r>
    <s v="MATS2880177-000"/>
    <s v="US"/>
    <x v="0"/>
    <x v="0"/>
    <x v="0"/>
    <x v="60"/>
    <s v="0714.20"/>
    <n v="2"/>
    <n v="0.90718399999999999"/>
    <n v="69.599999999999994"/>
  </r>
  <r>
    <s v="MATS2880177-000"/>
    <s v="US"/>
    <x v="0"/>
    <x v="0"/>
    <x v="0"/>
    <x v="76"/>
    <s v="0807.11"/>
    <n v="80"/>
    <n v="36.28736"/>
    <n v="1952"/>
  </r>
  <r>
    <s v="MATS1158576-000"/>
    <s v="US"/>
    <x v="0"/>
    <x v="0"/>
    <x v="0"/>
    <x v="57"/>
    <s v="0808.10"/>
    <n v="35"/>
    <n v="15.875719999999999"/>
    <n v="975.15"/>
  </r>
  <r>
    <s v="MATS1158576-000"/>
    <s v="US"/>
    <x v="0"/>
    <x v="0"/>
    <x v="0"/>
    <x v="35"/>
    <s v="0704.90"/>
    <n v="17"/>
    <n v="7.7110640000000004"/>
    <n v="451.65"/>
  </r>
  <r>
    <s v="MATS1158576-000"/>
    <s v="US"/>
    <x v="0"/>
    <x v="0"/>
    <x v="0"/>
    <x v="65"/>
    <s v="0810.50"/>
    <n v="47"/>
    <n v="21.318823999999999"/>
    <n v="860.1"/>
  </r>
  <r>
    <s v="MATS1158576-000"/>
    <s v="US"/>
    <x v="0"/>
    <x v="0"/>
    <x v="0"/>
    <x v="72"/>
    <s v="0808.30"/>
    <n v="4"/>
    <n v="1.814368"/>
    <n v="155.6"/>
  </r>
  <r>
    <s v="MATS1158576-000"/>
    <s v="US"/>
    <x v="0"/>
    <x v="0"/>
    <x v="0"/>
    <x v="14"/>
    <s v="0805.10"/>
    <n v="42"/>
    <n v="19.050864000000001"/>
    <n v="1871.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BD3ACF-2AF0-452B-A197-C7134DC93DFF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E121" firstHeaderRow="0" firstDataRow="1" firstDataCol="1"/>
  <pivotFields count="10"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20">
        <item m="1" x="119"/>
        <item x="42"/>
        <item m="1" x="118"/>
        <item x="57"/>
        <item x="106"/>
        <item x="0"/>
        <item x="27"/>
        <item x="98"/>
        <item x="71"/>
        <item x="45"/>
        <item x="1"/>
        <item x="58"/>
        <item x="117"/>
        <item x="116"/>
        <item x="28"/>
        <item x="38"/>
        <item x="40"/>
        <item x="70"/>
        <item x="2"/>
        <item x="3"/>
        <item x="101"/>
        <item x="35"/>
        <item x="99"/>
        <item x="73"/>
        <item x="12"/>
        <item x="33"/>
        <item x="21"/>
        <item x="89"/>
        <item x="44"/>
        <item x="8"/>
        <item x="93"/>
        <item x="15"/>
        <item x="86"/>
        <item x="53"/>
        <item x="110"/>
        <item x="5"/>
        <item x="4"/>
        <item x="78"/>
        <item x="49"/>
        <item x="113"/>
        <item x="37"/>
        <item x="41"/>
        <item x="87"/>
        <item x="109"/>
        <item x="112"/>
        <item x="52"/>
        <item x="43"/>
        <item x="77"/>
        <item x="79"/>
        <item x="67"/>
        <item x="29"/>
        <item x="96"/>
        <item x="74"/>
        <item x="115"/>
        <item x="90"/>
        <item x="104"/>
        <item x="39"/>
        <item x="65"/>
        <item x="22"/>
        <item x="64"/>
        <item x="23"/>
        <item x="69"/>
        <item x="85"/>
        <item x="61"/>
        <item x="16"/>
        <item x="114"/>
        <item x="103"/>
        <item x="46"/>
        <item x="10"/>
        <item x="59"/>
        <item x="97"/>
        <item x="32"/>
        <item x="14"/>
        <item x="50"/>
        <item x="95"/>
        <item x="30"/>
        <item x="47"/>
        <item x="105"/>
        <item x="91"/>
        <item x="72"/>
        <item x="80"/>
        <item x="24"/>
        <item x="34"/>
        <item x="54"/>
        <item x="56"/>
        <item x="107"/>
        <item x="75"/>
        <item x="100"/>
        <item x="81"/>
        <item x="82"/>
        <item x="66"/>
        <item x="102"/>
        <item x="20"/>
        <item x="6"/>
        <item x="31"/>
        <item x="13"/>
        <item x="51"/>
        <item x="62"/>
        <item x="92"/>
        <item x="111"/>
        <item x="17"/>
        <item x="25"/>
        <item x="26"/>
        <item x="36"/>
        <item x="60"/>
        <item x="83"/>
        <item x="84"/>
        <item x="88"/>
        <item x="19"/>
        <item x="9"/>
        <item x="7"/>
        <item x="48"/>
        <item x="108"/>
        <item x="68"/>
        <item x="11"/>
        <item x="18"/>
        <item x="55"/>
        <item x="76"/>
        <item x="63"/>
        <item x="94"/>
      </items>
    </pivotField>
    <pivotField compact="0" outline="0" showAll="0"/>
    <pivotField dataField="1" compact="0" outline="0" showAll="0"/>
    <pivotField dataField="1" compact="0" outline="0" showAll="0"/>
    <pivotField dataField="1" compact="0" numFmtId="164" outline="0" showAll="0"/>
  </pivotFields>
  <rowFields count="1">
    <field x="5"/>
  </rowFields>
  <rowItems count="119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ount of Document No." fld="0" subtotal="count" baseField="0" baseItem="0"/>
    <dataField name="Sum of Total Weight Imported (lbs)" fld="7" baseField="3" baseItem="5" numFmtId="4"/>
    <dataField name="Sum of Total Weight Imported (kg)" fld="8" baseField="3" baseItem="5" numFmtId="4"/>
    <dataField name="Sum of Value ($)" fld="9" baseField="0" baseItem="0" numFmtId="164"/>
  </dataFields>
  <formats count="5">
    <format dxfId="47">
      <pivotArea outline="0" fieldPosition="0">
        <references count="1">
          <reference field="4294967294" count="1" selected="0">
            <x v="1"/>
          </reference>
        </references>
      </pivotArea>
    </format>
    <format dxfId="4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5">
      <pivotArea outline="0" fieldPosition="0">
        <references count="1">
          <reference field="4294967294" count="1">
            <x v="2"/>
          </reference>
        </references>
      </pivotArea>
    </format>
    <format dxfId="44">
      <pivotArea outline="0" fieldPosition="0">
        <references count="1">
          <reference field="4294967294" count="1" selected="0">
            <x v="2"/>
          </reference>
        </references>
      </pivotArea>
    </format>
    <format dxfId="43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CA009B-6525-44DA-88BB-AD34AF10CF44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E257" firstHeaderRow="0" firstDataRow="1" firstDataCol="2"/>
  <pivotFields count="10">
    <pivotField compact="0" outline="0" showAll="0"/>
    <pivotField compact="0" outline="0" showAll="0"/>
    <pivotField compact="0" outline="0" showAll="0"/>
    <pivotField axis="axisRow" compact="0" outline="0" showAll="0">
      <items count="22">
        <item x="14"/>
        <item x="19"/>
        <item x="9"/>
        <item x="16"/>
        <item x="3"/>
        <item x="11"/>
        <item x="8"/>
        <item x="6"/>
        <item x="12"/>
        <item x="18"/>
        <item x="10"/>
        <item x="2"/>
        <item x="15"/>
        <item x="4"/>
        <item x="13"/>
        <item x="5"/>
        <item x="17"/>
        <item x="20"/>
        <item x="7"/>
        <item x="1"/>
        <item x="0"/>
        <item t="default"/>
      </items>
    </pivotField>
    <pivotField compact="0" outline="0" showAll="0"/>
    <pivotField axis="axisRow" compact="0" outline="0" showAll="0" defaultSubtotal="0">
      <items count="120">
        <item m="1" x="119"/>
        <item x="42"/>
        <item m="1" x="118"/>
        <item x="57"/>
        <item x="106"/>
        <item x="0"/>
        <item x="27"/>
        <item x="98"/>
        <item x="71"/>
        <item x="45"/>
        <item x="1"/>
        <item x="58"/>
        <item x="117"/>
        <item x="116"/>
        <item x="28"/>
        <item x="38"/>
        <item x="40"/>
        <item x="70"/>
        <item x="2"/>
        <item x="3"/>
        <item x="101"/>
        <item x="35"/>
        <item x="99"/>
        <item x="73"/>
        <item x="12"/>
        <item x="33"/>
        <item x="21"/>
        <item x="89"/>
        <item x="44"/>
        <item x="8"/>
        <item x="93"/>
        <item x="15"/>
        <item x="86"/>
        <item x="53"/>
        <item x="110"/>
        <item x="5"/>
        <item x="4"/>
        <item x="78"/>
        <item x="49"/>
        <item x="113"/>
        <item x="37"/>
        <item x="41"/>
        <item x="87"/>
        <item x="109"/>
        <item x="112"/>
        <item x="52"/>
        <item x="43"/>
        <item x="77"/>
        <item x="79"/>
        <item x="67"/>
        <item x="29"/>
        <item x="96"/>
        <item x="74"/>
        <item x="115"/>
        <item x="90"/>
        <item x="104"/>
        <item x="39"/>
        <item x="65"/>
        <item x="22"/>
        <item x="64"/>
        <item x="23"/>
        <item x="69"/>
        <item x="85"/>
        <item x="61"/>
        <item x="16"/>
        <item x="114"/>
        <item x="103"/>
        <item x="46"/>
        <item x="10"/>
        <item x="59"/>
        <item x="97"/>
        <item x="32"/>
        <item x="14"/>
        <item x="50"/>
        <item x="95"/>
        <item x="30"/>
        <item x="47"/>
        <item x="105"/>
        <item x="91"/>
        <item x="72"/>
        <item x="80"/>
        <item x="24"/>
        <item x="34"/>
        <item x="54"/>
        <item x="56"/>
        <item x="107"/>
        <item x="75"/>
        <item x="100"/>
        <item x="81"/>
        <item x="82"/>
        <item x="66"/>
        <item x="102"/>
        <item x="20"/>
        <item x="6"/>
        <item x="31"/>
        <item x="13"/>
        <item x="51"/>
        <item x="62"/>
        <item x="92"/>
        <item x="111"/>
        <item x="17"/>
        <item x="25"/>
        <item x="26"/>
        <item x="36"/>
        <item x="60"/>
        <item x="83"/>
        <item x="84"/>
        <item x="88"/>
        <item x="19"/>
        <item x="9"/>
        <item x="7"/>
        <item x="48"/>
        <item x="108"/>
        <item x="68"/>
        <item x="11"/>
        <item x="18"/>
        <item x="55"/>
        <item x="76"/>
        <item x="63"/>
        <item x="94"/>
      </items>
    </pivotField>
    <pivotField compact="0" outline="0" showAll="0"/>
    <pivotField dataField="1" compact="0" outline="0" showAll="0"/>
    <pivotField dataField="1" compact="0" outline="0" showAll="0"/>
    <pivotField dataField="1" compact="0" numFmtId="164" outline="0" showAll="0"/>
  </pivotFields>
  <rowFields count="2">
    <field x="3"/>
    <field x="5"/>
  </rowFields>
  <rowItems count="255">
    <i>
      <x/>
      <x v="86"/>
    </i>
    <i t="default">
      <x/>
    </i>
    <i>
      <x v="1"/>
      <x v="64"/>
    </i>
    <i t="default">
      <x v="1"/>
    </i>
    <i>
      <x v="2"/>
      <x v="72"/>
    </i>
    <i t="default">
      <x v="2"/>
    </i>
    <i>
      <x v="3"/>
      <x v="47"/>
    </i>
    <i r="1">
      <x v="64"/>
    </i>
    <i t="default">
      <x v="3"/>
    </i>
    <i>
      <x v="4"/>
      <x v="68"/>
    </i>
    <i t="default">
      <x v="4"/>
    </i>
    <i>
      <x v="5"/>
      <x v="50"/>
    </i>
    <i r="1">
      <x v="57"/>
    </i>
    <i r="1">
      <x v="79"/>
    </i>
    <i t="default">
      <x v="5"/>
    </i>
    <i>
      <x v="6"/>
      <x v="24"/>
    </i>
    <i r="1">
      <x v="46"/>
    </i>
    <i r="1">
      <x v="47"/>
    </i>
    <i r="1">
      <x v="71"/>
    </i>
    <i r="1">
      <x v="79"/>
    </i>
    <i r="1">
      <x v="92"/>
    </i>
    <i t="default">
      <x v="6"/>
    </i>
    <i>
      <x v="7"/>
      <x v="8"/>
    </i>
    <i r="1">
      <x v="10"/>
    </i>
    <i r="1">
      <x v="22"/>
    </i>
    <i r="1">
      <x v="34"/>
    </i>
    <i r="1">
      <x v="36"/>
    </i>
    <i r="1">
      <x v="39"/>
    </i>
    <i r="1">
      <x v="40"/>
    </i>
    <i r="1">
      <x v="44"/>
    </i>
    <i r="1">
      <x v="47"/>
    </i>
    <i r="1">
      <x v="51"/>
    </i>
    <i r="1">
      <x v="53"/>
    </i>
    <i r="1">
      <x v="59"/>
    </i>
    <i r="1">
      <x v="65"/>
    </i>
    <i r="1">
      <x v="66"/>
    </i>
    <i r="1">
      <x v="70"/>
    </i>
    <i r="1">
      <x v="74"/>
    </i>
    <i r="1">
      <x v="75"/>
    </i>
    <i r="1">
      <x v="81"/>
    </i>
    <i r="1">
      <x v="86"/>
    </i>
    <i r="1">
      <x v="99"/>
    </i>
    <i r="1">
      <x v="104"/>
    </i>
    <i r="1">
      <x v="107"/>
    </i>
    <i t="default">
      <x v="7"/>
    </i>
    <i>
      <x v="8"/>
      <x v="86"/>
    </i>
    <i r="1">
      <x v="107"/>
    </i>
    <i t="default">
      <x v="8"/>
    </i>
    <i>
      <x v="9"/>
      <x v="12"/>
    </i>
    <i r="1">
      <x v="13"/>
    </i>
    <i t="default">
      <x v="9"/>
    </i>
    <i>
      <x v="10"/>
      <x v="3"/>
    </i>
    <i r="1">
      <x v="10"/>
    </i>
    <i r="1">
      <x v="20"/>
    </i>
    <i r="1">
      <x v="21"/>
    </i>
    <i r="1">
      <x v="24"/>
    </i>
    <i r="1">
      <x v="36"/>
    </i>
    <i r="1">
      <x v="40"/>
    </i>
    <i r="1">
      <x v="46"/>
    </i>
    <i r="1">
      <x v="47"/>
    </i>
    <i r="1">
      <x v="60"/>
    </i>
    <i r="1">
      <x v="63"/>
    </i>
    <i r="1">
      <x v="66"/>
    </i>
    <i r="1">
      <x v="68"/>
    </i>
    <i r="1">
      <x v="80"/>
    </i>
    <i r="1">
      <x v="82"/>
    </i>
    <i r="1">
      <x v="84"/>
    </i>
    <i r="1">
      <x v="91"/>
    </i>
    <i r="1">
      <x v="92"/>
    </i>
    <i r="1">
      <x v="100"/>
    </i>
    <i r="1">
      <x v="104"/>
    </i>
    <i r="1">
      <x v="114"/>
    </i>
    <i r="1">
      <x v="115"/>
    </i>
    <i r="1">
      <x v="118"/>
    </i>
    <i t="default">
      <x v="10"/>
    </i>
    <i>
      <x v="11"/>
      <x v="5"/>
    </i>
    <i r="1">
      <x v="6"/>
    </i>
    <i r="1">
      <x v="10"/>
    </i>
    <i r="1">
      <x v="11"/>
    </i>
    <i r="1">
      <x v="16"/>
    </i>
    <i r="1">
      <x v="19"/>
    </i>
    <i r="1">
      <x v="23"/>
    </i>
    <i r="1">
      <x v="31"/>
    </i>
    <i r="1">
      <x v="32"/>
    </i>
    <i r="1">
      <x v="36"/>
    </i>
    <i r="1">
      <x v="46"/>
    </i>
    <i r="1">
      <x v="52"/>
    </i>
    <i r="1">
      <x v="58"/>
    </i>
    <i r="1">
      <x v="59"/>
    </i>
    <i r="1">
      <x v="61"/>
    </i>
    <i r="1">
      <x v="64"/>
    </i>
    <i r="1">
      <x v="71"/>
    </i>
    <i r="1">
      <x v="81"/>
    </i>
    <i r="1">
      <x v="82"/>
    </i>
    <i r="1">
      <x v="92"/>
    </i>
    <i r="1">
      <x v="101"/>
    </i>
    <i r="1">
      <x v="103"/>
    </i>
    <i r="1">
      <x v="113"/>
    </i>
    <i r="1">
      <x v="114"/>
    </i>
    <i r="1">
      <x v="117"/>
    </i>
    <i t="default">
      <x v="11"/>
    </i>
    <i>
      <x v="12"/>
      <x v="81"/>
    </i>
    <i t="default">
      <x v="12"/>
    </i>
    <i>
      <x v="13"/>
      <x v="16"/>
    </i>
    <i r="1">
      <x v="57"/>
    </i>
    <i r="1">
      <x v="102"/>
    </i>
    <i t="default">
      <x v="13"/>
    </i>
    <i>
      <x v="14"/>
      <x v="64"/>
    </i>
    <i t="default">
      <x v="14"/>
    </i>
    <i>
      <x v="15"/>
      <x v="3"/>
    </i>
    <i r="1">
      <x v="11"/>
    </i>
    <i r="1">
      <x v="21"/>
    </i>
    <i r="1">
      <x v="24"/>
    </i>
    <i r="1">
      <x v="36"/>
    </i>
    <i r="1">
      <x v="40"/>
    </i>
    <i r="1">
      <x v="46"/>
    </i>
    <i r="1">
      <x v="50"/>
    </i>
    <i r="1">
      <x v="52"/>
    </i>
    <i r="1">
      <x v="55"/>
    </i>
    <i r="1">
      <x v="56"/>
    </i>
    <i r="1">
      <x v="58"/>
    </i>
    <i r="1">
      <x v="60"/>
    </i>
    <i r="1">
      <x v="63"/>
    </i>
    <i r="1">
      <x v="66"/>
    </i>
    <i r="1">
      <x v="68"/>
    </i>
    <i r="1">
      <x v="69"/>
    </i>
    <i r="1">
      <x v="71"/>
    </i>
    <i r="1">
      <x v="76"/>
    </i>
    <i r="1">
      <x v="79"/>
    </i>
    <i r="1">
      <x v="82"/>
    </i>
    <i r="1">
      <x v="83"/>
    </i>
    <i r="1">
      <x v="84"/>
    </i>
    <i r="1">
      <x v="91"/>
    </i>
    <i r="1">
      <x v="92"/>
    </i>
    <i r="1">
      <x v="97"/>
    </i>
    <i r="1">
      <x v="100"/>
    </i>
    <i r="1">
      <x v="101"/>
    </i>
    <i r="1">
      <x v="104"/>
    </i>
    <i r="1">
      <x v="106"/>
    </i>
    <i r="1">
      <x v="114"/>
    </i>
    <i r="1">
      <x v="116"/>
    </i>
    <i t="default">
      <x v="15"/>
    </i>
    <i>
      <x v="16"/>
      <x v="46"/>
    </i>
    <i t="default">
      <x v="16"/>
    </i>
    <i>
      <x v="17"/>
      <x v="47"/>
    </i>
    <i t="default">
      <x v="17"/>
    </i>
    <i>
      <x v="18"/>
      <x v="7"/>
    </i>
    <i r="1">
      <x v="26"/>
    </i>
    <i r="1">
      <x v="60"/>
    </i>
    <i r="1">
      <x v="71"/>
    </i>
    <i t="default">
      <x v="18"/>
    </i>
    <i>
      <x v="19"/>
      <x v="16"/>
    </i>
    <i r="1">
      <x v="35"/>
    </i>
    <i t="default">
      <x v="19"/>
    </i>
    <i>
      <x v="20"/>
      <x v="1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1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0"/>
    </i>
    <i r="1">
      <x v="41"/>
    </i>
    <i r="1">
      <x v="42"/>
    </i>
    <i r="1">
      <x v="43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2"/>
    </i>
    <i r="1">
      <x v="54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6"/>
    </i>
    <i r="1">
      <x v="67"/>
    </i>
    <i r="1">
      <x v="68"/>
    </i>
    <i r="1">
      <x v="71"/>
    </i>
    <i r="1">
      <x v="72"/>
    </i>
    <i r="1">
      <x v="73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2"/>
    </i>
    <i r="1">
      <x v="93"/>
    </i>
    <i r="1">
      <x v="94"/>
    </i>
    <i r="1">
      <x v="95"/>
    </i>
    <i r="1">
      <x v="96"/>
    </i>
    <i r="1">
      <x v="98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t="default">
      <x v="2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Total Weight Imported (lbs)" fld="7" baseField="3" baseItem="5" numFmtId="4"/>
    <dataField name="Sum of Total Weight Imported (kg)" fld="8" baseField="3" baseItem="5" numFmtId="4"/>
    <dataField name="Sum of Value ($)" fld="9" baseField="0" baseItem="0" numFmtId="164"/>
  </dataFields>
  <formats count="11">
    <format dxfId="42">
      <pivotArea outline="0" fieldPosition="0">
        <references count="1">
          <reference field="4294967294" count="1" selected="0">
            <x v="0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0">
      <pivotArea outline="0" fieldPosition="0">
        <references count="1">
          <reference field="4294967294" count="1">
            <x v="1"/>
          </reference>
        </references>
      </pivotArea>
    </format>
    <format dxfId="39">
      <pivotArea outline="0" fieldPosition="0">
        <references count="1">
          <reference field="4294967294" count="1" selected="0">
            <x v="1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7">
      <pivotArea field="3" type="button" dataOnly="0" labelOnly="1" outline="0" axis="axisRow" fieldPosition="0"/>
    </format>
    <format dxfId="36">
      <pivotArea field="5" type="button" dataOnly="0" labelOnly="1" outline="0" axis="axisRow" fieldPosition="1"/>
    </format>
    <format dxfId="3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4">
      <pivotArea field="3" type="button" dataOnly="0" labelOnly="1" outline="0" axis="axisRow" fieldPosition="0"/>
    </format>
    <format dxfId="33">
      <pivotArea field="5" type="button" dataOnly="0" labelOnly="1" outline="0" axis="axisRow" fieldPosition="1"/>
    </format>
    <format dxfId="3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2EB11B-4AC5-42F1-8FF7-84DE5E465D98}" name="PivotTable2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29" firstHeaderRow="1" firstDataRow="1" firstDataCol="1"/>
  <pivotFields count="10">
    <pivotField showAll="0"/>
    <pivotField showAll="0"/>
    <pivotField axis="axisRow" showAll="0">
      <items count="26">
        <item x="9"/>
        <item x="18"/>
        <item x="3"/>
        <item x="16"/>
        <item x="24"/>
        <item x="13"/>
        <item x="11"/>
        <item x="8"/>
        <item x="12"/>
        <item x="15"/>
        <item x="23"/>
        <item x="19"/>
        <item x="22"/>
        <item x="10"/>
        <item x="5"/>
        <item x="6"/>
        <item x="20"/>
        <item x="21"/>
        <item x="2"/>
        <item x="17"/>
        <item x="4"/>
        <item x="14"/>
        <item x="7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numFmtId="164" showAll="0"/>
  </pivotFields>
  <rowFields count="1">
    <field x="2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973620-323F-4D93-9204-FC2481D8D12A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G123" firstHeaderRow="1" firstDataRow="3" firstDataCol="1"/>
  <pivotFields count="10"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3">
        <item x="0"/>
        <item x="1"/>
        <item t="default"/>
      </items>
    </pivotField>
    <pivotField axis="axisRow" compact="0" outline="0" showAll="0" defaultSubtotal="0">
      <items count="120">
        <item m="1" x="119"/>
        <item x="42"/>
        <item m="1" x="118"/>
        <item x="57"/>
        <item x="106"/>
        <item x="0"/>
        <item x="27"/>
        <item x="98"/>
        <item x="71"/>
        <item x="45"/>
        <item x="1"/>
        <item x="58"/>
        <item x="117"/>
        <item x="116"/>
        <item x="28"/>
        <item x="38"/>
        <item x="40"/>
        <item x="70"/>
        <item x="2"/>
        <item x="3"/>
        <item x="101"/>
        <item x="35"/>
        <item x="99"/>
        <item x="73"/>
        <item x="12"/>
        <item x="33"/>
        <item x="21"/>
        <item x="89"/>
        <item x="44"/>
        <item x="8"/>
        <item x="93"/>
        <item x="15"/>
        <item x="86"/>
        <item x="53"/>
        <item x="110"/>
        <item x="5"/>
        <item x="4"/>
        <item x="78"/>
        <item x="49"/>
        <item x="113"/>
        <item x="37"/>
        <item x="41"/>
        <item x="87"/>
        <item x="109"/>
        <item x="112"/>
        <item x="52"/>
        <item x="43"/>
        <item x="77"/>
        <item x="79"/>
        <item x="67"/>
        <item x="29"/>
        <item x="96"/>
        <item x="74"/>
        <item x="115"/>
        <item x="90"/>
        <item x="104"/>
        <item x="39"/>
        <item x="65"/>
        <item x="22"/>
        <item x="64"/>
        <item x="23"/>
        <item x="69"/>
        <item x="85"/>
        <item x="61"/>
        <item x="16"/>
        <item x="114"/>
        <item x="103"/>
        <item x="46"/>
        <item x="10"/>
        <item x="59"/>
        <item x="97"/>
        <item x="32"/>
        <item x="14"/>
        <item x="50"/>
        <item x="95"/>
        <item x="30"/>
        <item x="47"/>
        <item x="105"/>
        <item x="91"/>
        <item x="72"/>
        <item x="80"/>
        <item x="24"/>
        <item x="34"/>
        <item x="54"/>
        <item x="56"/>
        <item x="107"/>
        <item x="75"/>
        <item x="100"/>
        <item x="81"/>
        <item x="82"/>
        <item x="66"/>
        <item x="102"/>
        <item x="20"/>
        <item x="6"/>
        <item x="31"/>
        <item x="13"/>
        <item x="51"/>
        <item x="62"/>
        <item x="92"/>
        <item x="111"/>
        <item x="17"/>
        <item x="25"/>
        <item x="26"/>
        <item x="36"/>
        <item x="60"/>
        <item x="83"/>
        <item x="84"/>
        <item x="88"/>
        <item x="19"/>
        <item x="9"/>
        <item x="7"/>
        <item x="48"/>
        <item x="108"/>
        <item x="68"/>
        <item x="11"/>
        <item x="18"/>
        <item x="55"/>
        <item x="76"/>
        <item x="63"/>
        <item x="94"/>
      </items>
    </pivotField>
    <pivotField compact="0" outline="0" showAll="0"/>
    <pivotField compact="0" outline="0" showAll="0"/>
    <pivotField dataField="1" compact="0" outline="0" showAll="0"/>
    <pivotField dataField="1" compact="0" numFmtId="164" outline="0" showAll="0"/>
  </pivotFields>
  <rowFields count="1">
    <field x="5"/>
  </rowFields>
  <rowItems count="119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 t="grand">
      <x/>
    </i>
  </rowItems>
  <colFields count="2">
    <field x="4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 of Total Weight Imported (kg)" fld="8" baseField="3" baseItem="5" numFmtId="4"/>
    <dataField name="Sum of Value ($)" fld="9" baseField="0" baseItem="0" numFmtId="164"/>
  </dataFields>
  <formats count="3">
    <format dxfId="16">
      <pivotArea outline="0" fieldPosition="0">
        <references count="1">
          <reference field="4294967294" count="1">
            <x v="0"/>
          </reference>
        </references>
      </pivotArea>
    </format>
    <format dxfId="17">
      <pivotArea outline="0" fieldPosition="0">
        <references count="1">
          <reference field="4294967294" count="1" selected="0">
            <x v="0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F35FCE-447C-43B7-A5A5-1EB66222709B}" name="Table2" displayName="Table2" ref="C1:E26" totalsRowShown="0">
  <autoFilter ref="C1:E26" xr:uid="{F6F35FCE-447C-43B7-A5A5-1EB66222709B}"/>
  <tableColumns count="3">
    <tableColumn id="1" xr3:uid="{EA0514C7-4F46-470A-AB6E-0DFB88CD1396}" name="Row Labels" dataDxfId="31"/>
    <tableColumn id="2" xr3:uid="{CB7FCA1A-14D1-4CD0-98F9-78F4965472FF}" name="Country Name" dataDxfId="30"/>
    <tableColumn id="3" xr3:uid="{98165E0F-23E9-4BBE-BD52-41B4309615D3}" name="International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38416F4-C9AE-428F-8268-655BB9580BFB}" name="Table3" displayName="Table3" ref="A1:H279" totalsRowShown="0">
  <autoFilter ref="A1:H279" xr:uid="{138416F4-C9AE-428F-8268-655BB9580BFB}">
    <filterColumn colId="1">
      <filters>
        <filter val="ES"/>
      </filters>
    </filterColumn>
  </autoFilter>
  <tableColumns count="8">
    <tableColumn id="1" xr3:uid="{BD3D9859-98C3-4BC2-BB52-9EDE14390075}" name="ISO 3166[1]"/>
    <tableColumn id="4" xr3:uid="{0FD3D38C-7B1E-4A2A-A0DD-59E08A0B758D}" name="A-2"/>
    <tableColumn id="2" xr3:uid="{356080B9-65D8-41AB-BC6F-D972EF92A23C}" name="Official state name[6][a]"/>
    <tableColumn id="3" xr3:uid="{EAA9635A-CDA1-4474-9313-F5551B5DEDD2}" name="Sovereignty"/>
    <tableColumn id="5" xr3:uid="{0D804D12-B924-40E5-9538-F6767A472AFB}" name="A-3"/>
    <tableColumn id="6" xr3:uid="{FDED562E-D3BA-4D26-A92F-0D82E3528A50}" name="Num."/>
    <tableColumn id="7" xr3:uid="{D8FD1B14-A70B-4350-B066-D725F8A06E4E}" name="ISO 3166-2[3] subdivision codes link"/>
    <tableColumn id="8" xr3:uid="{7D6AD47E-2816-46A0-96EE-73200D185023}" name="TLD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4EE602-5B22-40BE-B029-2E2B738D835C}" name="Table1" displayName="Table1" ref="A8:J1692" totalsRowShown="0" headerRowDxfId="29" headerRowBorderDxfId="28">
  <autoFilter ref="A8:J1692" xr:uid="{B14EE602-5B22-40BE-B029-2E2B738D835C}"/>
  <tableColumns count="10">
    <tableColumn id="1" xr3:uid="{8B54106D-5285-4D37-AB17-2173FD30FF33}" name="Document No." dataDxfId="27"/>
    <tableColumn id="3" xr3:uid="{6917DED9-3AB1-4CA7-962F-1DC793DEECAA}" name="Origin " dataDxfId="26"/>
    <tableColumn id="9" xr3:uid="{65065C66-F010-4365-AED7-4E22B9DD2649}" name="Point of Origin" dataDxfId="25"/>
    <tableColumn id="10" xr3:uid="{7849B0B9-7E21-4D0D-A3CD-B1DE27D85B35}" name="Country Name of Origi" dataDxfId="24">
      <calculatedColumnFormula>VLOOKUP(Table1[[#This Row],[Point of Origin]],Table2[#All],2,0)</calculatedColumnFormula>
    </tableColumn>
    <tableColumn id="2" xr3:uid="{544F741F-9A4A-41E5-AF1D-81565503F15D}" name="Origin Type" dataDxfId="15">
      <calculatedColumnFormula>VLOOKUP(Table1[[#This Row],[Point of Origin]],Table2[#All],3,0)</calculatedColumnFormula>
    </tableColumn>
    <tableColumn id="4" xr3:uid="{C5A14F8F-0D3D-4933-BBB0-AA3CFB09003B}" name="Produce Type_x000a_(Specify)" dataDxfId="23"/>
    <tableColumn id="5" xr3:uid="{DBC60064-B52C-4E1D-AF60-CC65CF285993}" name="HS Code" dataDxfId="22"/>
    <tableColumn id="6" xr3:uid="{A36D72BA-0404-4ED2-9D7A-F6189A0A7E10}" name="Total Weight Imported (lbs)" dataDxfId="21"/>
    <tableColumn id="8" xr3:uid="{6F9AA3D7-CC7F-4625-B2D4-1FAD5C68785B}" name="Total Weight Imported (kg)" dataDxfId="20">
      <calculatedColumnFormula>Table1[[#This Row],[Total Weight Imported (lbs)]]*0.453592</calculatedColumnFormula>
    </tableColumn>
    <tableColumn id="7" xr3:uid="{459DBF63-206B-4B51-AB78-D02A591C3B21}" name="Value ($)" dataDxfId="19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D2918-9862-4A9A-946B-829EDF2EDCAB}">
  <dimension ref="A1:E1318"/>
  <sheetViews>
    <sheetView workbookViewId="0">
      <selection activeCell="F9" sqref="F9"/>
    </sheetView>
  </sheetViews>
  <sheetFormatPr defaultRowHeight="15"/>
  <cols>
    <col min="1" max="1" width="44.5703125" bestFit="1" customWidth="1"/>
    <col min="2" max="2" width="22.140625" style="217" bestFit="1" customWidth="1"/>
    <col min="3" max="3" width="12" style="217" bestFit="1" customWidth="1"/>
    <col min="4" max="4" width="13.28515625" bestFit="1" customWidth="1"/>
    <col min="5" max="5" width="15.7109375" bestFit="1" customWidth="1"/>
    <col min="6" max="66" width="32.85546875" bestFit="1" customWidth="1"/>
    <col min="67" max="67" width="38" bestFit="1" customWidth="1"/>
    <col min="68" max="68" width="20.7109375" bestFit="1" customWidth="1"/>
  </cols>
  <sheetData>
    <row r="1" spans="1:5" ht="60.75" customHeight="1">
      <c r="A1" s="234" t="s">
        <v>2109</v>
      </c>
      <c r="B1" s="234"/>
      <c r="C1" s="234"/>
      <c r="D1" s="234"/>
      <c r="E1" s="234"/>
    </row>
    <row r="2" spans="1:5" ht="60">
      <c r="A2" s="213" t="s">
        <v>8</v>
      </c>
      <c r="B2" t="s">
        <v>2101</v>
      </c>
      <c r="C2" s="217" t="s">
        <v>533</v>
      </c>
      <c r="D2" s="217" t="s">
        <v>536</v>
      </c>
      <c r="E2" t="s">
        <v>534</v>
      </c>
    </row>
    <row r="3" spans="1:5">
      <c r="A3" t="s">
        <v>95</v>
      </c>
      <c r="B3" s="233">
        <v>1</v>
      </c>
      <c r="C3" s="218">
        <v>10</v>
      </c>
      <c r="D3" s="218">
        <v>4.53592</v>
      </c>
      <c r="E3" s="216">
        <v>26</v>
      </c>
    </row>
    <row r="4" spans="1:5">
      <c r="A4" t="s">
        <v>121</v>
      </c>
      <c r="B4" s="233">
        <v>50</v>
      </c>
      <c r="C4" s="218">
        <v>25659.48</v>
      </c>
      <c r="D4" s="218">
        <v>11638.934852159999</v>
      </c>
      <c r="E4" s="216">
        <v>39179.25</v>
      </c>
    </row>
    <row r="5" spans="1:5">
      <c r="A5" t="s">
        <v>248</v>
      </c>
      <c r="B5" s="233">
        <v>4</v>
      </c>
      <c r="C5" s="218">
        <v>558</v>
      </c>
      <c r="D5" s="218">
        <v>253.10433600000002</v>
      </c>
      <c r="E5" s="216">
        <v>1250.78</v>
      </c>
    </row>
    <row r="6" spans="1:5">
      <c r="A6" t="s">
        <v>15</v>
      </c>
      <c r="B6" s="233">
        <v>22</v>
      </c>
      <c r="C6" s="218">
        <v>4666</v>
      </c>
      <c r="D6" s="218">
        <v>2116.4602720000003</v>
      </c>
      <c r="E6" s="216">
        <v>21122.789999999997</v>
      </c>
    </row>
    <row r="7" spans="1:5">
      <c r="A7" t="s">
        <v>67</v>
      </c>
      <c r="B7" s="233">
        <v>22</v>
      </c>
      <c r="C7" s="218">
        <v>7144</v>
      </c>
      <c r="D7" s="218">
        <v>3240.4612480000001</v>
      </c>
      <c r="E7" s="216">
        <v>23260.86</v>
      </c>
    </row>
    <row r="8" spans="1:5">
      <c r="A8" t="s">
        <v>207</v>
      </c>
      <c r="B8" s="233">
        <v>1</v>
      </c>
      <c r="C8" s="218">
        <v>10</v>
      </c>
      <c r="D8" s="218">
        <v>4.53592</v>
      </c>
      <c r="E8" s="216">
        <v>72</v>
      </c>
    </row>
    <row r="9" spans="1:5">
      <c r="A9" t="s">
        <v>151</v>
      </c>
      <c r="B9" s="233">
        <v>6</v>
      </c>
      <c r="C9" s="218">
        <v>108663</v>
      </c>
      <c r="D9" s="218">
        <v>49288.667495999995</v>
      </c>
      <c r="E9" s="216">
        <v>67675.64</v>
      </c>
    </row>
    <row r="10" spans="1:5">
      <c r="A10" t="s">
        <v>100</v>
      </c>
      <c r="B10" s="233">
        <v>2</v>
      </c>
      <c r="C10" s="218">
        <v>3.96</v>
      </c>
      <c r="D10" s="218">
        <v>1.7962243199999999</v>
      </c>
      <c r="E10" s="216">
        <v>156.25</v>
      </c>
    </row>
    <row r="11" spans="1:5">
      <c r="A11" t="s">
        <v>17</v>
      </c>
      <c r="B11" s="233">
        <v>16</v>
      </c>
      <c r="C11" s="218">
        <v>824</v>
      </c>
      <c r="D11" s="218">
        <v>373.75980800000002</v>
      </c>
      <c r="E11" s="216">
        <v>1677.7399999999998</v>
      </c>
    </row>
    <row r="12" spans="1:5">
      <c r="A12" t="s">
        <v>124</v>
      </c>
      <c r="B12" s="233">
        <v>16</v>
      </c>
      <c r="C12" s="218">
        <v>1691.6100000000001</v>
      </c>
      <c r="D12" s="218">
        <v>767.30076311999994</v>
      </c>
      <c r="E12" s="216">
        <v>2027.1000000000001</v>
      </c>
    </row>
    <row r="13" spans="1:5">
      <c r="A13" t="s">
        <v>314</v>
      </c>
      <c r="B13" s="233">
        <v>20</v>
      </c>
      <c r="C13" s="218">
        <v>1085</v>
      </c>
      <c r="D13" s="218">
        <v>492.14732000000004</v>
      </c>
      <c r="E13" s="216">
        <v>4478</v>
      </c>
    </row>
    <row r="14" spans="1:5">
      <c r="A14" t="s">
        <v>312</v>
      </c>
      <c r="B14" s="233">
        <v>26</v>
      </c>
      <c r="C14" s="218">
        <v>8987</v>
      </c>
      <c r="D14" s="218">
        <v>4076.4313040000006</v>
      </c>
      <c r="E14" s="216">
        <v>15801.9</v>
      </c>
    </row>
    <row r="15" spans="1:5">
      <c r="A15" t="s">
        <v>69</v>
      </c>
      <c r="B15" s="233">
        <v>4</v>
      </c>
      <c r="C15" s="218">
        <v>414</v>
      </c>
      <c r="D15" s="218">
        <v>187.78708799999998</v>
      </c>
      <c r="E15" s="216">
        <v>3796.75</v>
      </c>
    </row>
    <row r="16" spans="1:5">
      <c r="A16" t="s">
        <v>86</v>
      </c>
      <c r="B16" s="233">
        <v>1</v>
      </c>
      <c r="C16" s="218">
        <v>4.5</v>
      </c>
      <c r="D16" s="218">
        <v>2.0411640000000002</v>
      </c>
      <c r="E16" s="216">
        <v>1326.25</v>
      </c>
    </row>
    <row r="17" spans="1:5">
      <c r="A17" t="s">
        <v>90</v>
      </c>
      <c r="B17" s="233">
        <v>10</v>
      </c>
      <c r="C17" s="218">
        <v>1596.5</v>
      </c>
      <c r="D17" s="218">
        <v>724.15962799999988</v>
      </c>
      <c r="E17" s="216">
        <v>19497.66</v>
      </c>
    </row>
    <row r="18" spans="1:5">
      <c r="A18" t="s">
        <v>148</v>
      </c>
      <c r="B18" s="233">
        <v>25</v>
      </c>
      <c r="C18" s="218">
        <v>4270</v>
      </c>
      <c r="D18" s="218">
        <v>1936.8378400000011</v>
      </c>
      <c r="E18" s="216">
        <v>18289.759999999998</v>
      </c>
    </row>
    <row r="19" spans="1:5">
      <c r="A19" t="s">
        <v>19</v>
      </c>
      <c r="B19" s="233">
        <v>50</v>
      </c>
      <c r="C19" s="218">
        <v>21311.200000000001</v>
      </c>
      <c r="D19" s="218">
        <v>9666.5898304000057</v>
      </c>
      <c r="E19" s="216">
        <v>54848.290000000008</v>
      </c>
    </row>
    <row r="20" spans="1:5">
      <c r="A20" t="s">
        <v>21</v>
      </c>
      <c r="B20" s="233">
        <v>18</v>
      </c>
      <c r="C20" s="218">
        <v>2026</v>
      </c>
      <c r="D20" s="218">
        <v>918.97739200000001</v>
      </c>
      <c r="E20" s="216">
        <v>3890.67</v>
      </c>
    </row>
    <row r="21" spans="1:5">
      <c r="A21" t="s">
        <v>226</v>
      </c>
      <c r="B21" s="233">
        <v>1</v>
      </c>
      <c r="C21" s="218">
        <v>33</v>
      </c>
      <c r="D21" s="218">
        <v>14.968536</v>
      </c>
      <c r="E21" s="216">
        <v>106.14</v>
      </c>
    </row>
    <row r="22" spans="1:5">
      <c r="A22" t="s">
        <v>82</v>
      </c>
      <c r="B22" s="233">
        <v>70</v>
      </c>
      <c r="C22" s="218">
        <v>96577.010000000009</v>
      </c>
      <c r="D22" s="218">
        <v>43806.559119919999</v>
      </c>
      <c r="E22" s="216">
        <v>96486.8</v>
      </c>
    </row>
    <row r="23" spans="1:5">
      <c r="A23" t="s">
        <v>210</v>
      </c>
      <c r="B23" s="233">
        <v>2</v>
      </c>
      <c r="C23" s="218">
        <v>143</v>
      </c>
      <c r="D23" s="218">
        <v>64.863655999999992</v>
      </c>
      <c r="E23" s="216">
        <v>269.5</v>
      </c>
    </row>
    <row r="24" spans="1:5">
      <c r="A24" t="s">
        <v>157</v>
      </c>
      <c r="B24" s="233">
        <v>24</v>
      </c>
      <c r="C24" s="218">
        <v>26034</v>
      </c>
      <c r="D24" s="218">
        <v>11808.814127999998</v>
      </c>
      <c r="E24" s="216">
        <v>33593.040000000001</v>
      </c>
    </row>
    <row r="25" spans="1:5">
      <c r="A25" t="s">
        <v>40</v>
      </c>
      <c r="B25" s="233">
        <v>49</v>
      </c>
      <c r="C25" s="218">
        <v>68823.5</v>
      </c>
      <c r="D25" s="218">
        <v>31217.789012000005</v>
      </c>
      <c r="E25" s="216">
        <v>40068.28</v>
      </c>
    </row>
    <row r="26" spans="1:5">
      <c r="A26" t="s">
        <v>79</v>
      </c>
      <c r="B26" s="233">
        <v>17</v>
      </c>
      <c r="C26" s="218">
        <v>3589</v>
      </c>
      <c r="D26" s="218">
        <v>1627.9416879999994</v>
      </c>
      <c r="E26" s="216">
        <v>6438.09</v>
      </c>
    </row>
    <row r="27" spans="1:5">
      <c r="A27" t="s">
        <v>56</v>
      </c>
      <c r="B27" s="233">
        <v>37</v>
      </c>
      <c r="C27" s="218">
        <v>19848.400000000001</v>
      </c>
      <c r="D27" s="218">
        <v>9003.0754528000016</v>
      </c>
      <c r="E27" s="216">
        <v>14659.62</v>
      </c>
    </row>
    <row r="28" spans="1:5">
      <c r="A28" t="s">
        <v>189</v>
      </c>
      <c r="B28" s="233">
        <v>2</v>
      </c>
      <c r="C28" s="218">
        <v>65</v>
      </c>
      <c r="D28" s="218">
        <v>29.48348</v>
      </c>
      <c r="E28" s="216">
        <v>261</v>
      </c>
    </row>
    <row r="29" spans="1:5">
      <c r="A29" t="s">
        <v>98</v>
      </c>
      <c r="B29" s="233">
        <v>1</v>
      </c>
      <c r="C29" s="218">
        <v>30</v>
      </c>
      <c r="D29" s="218">
        <v>13.607759999999999</v>
      </c>
      <c r="E29" s="216">
        <v>93</v>
      </c>
    </row>
    <row r="30" spans="1:5">
      <c r="A30" t="s">
        <v>33</v>
      </c>
      <c r="B30" s="233">
        <v>7</v>
      </c>
      <c r="C30" s="218">
        <v>10.4</v>
      </c>
      <c r="D30" s="218">
        <v>4.7173568000000001</v>
      </c>
      <c r="E30" s="216">
        <v>155.5</v>
      </c>
    </row>
    <row r="31" spans="1:5">
      <c r="A31" t="s">
        <v>194</v>
      </c>
      <c r="B31" s="233">
        <v>1</v>
      </c>
      <c r="C31" s="218">
        <v>20</v>
      </c>
      <c r="D31" s="218">
        <v>9.0718399999999999</v>
      </c>
      <c r="E31" s="216">
        <v>125</v>
      </c>
    </row>
    <row r="32" spans="1:5">
      <c r="A32" t="s">
        <v>47</v>
      </c>
      <c r="B32" s="233">
        <v>9</v>
      </c>
      <c r="C32" s="218">
        <v>333</v>
      </c>
      <c r="D32" s="218">
        <v>151.04613600000002</v>
      </c>
      <c r="E32" s="216">
        <v>1409.6100000000001</v>
      </c>
    </row>
    <row r="33" spans="1:5">
      <c r="A33" t="s">
        <v>179</v>
      </c>
      <c r="B33" s="233">
        <v>3</v>
      </c>
      <c r="C33" s="218">
        <v>72</v>
      </c>
      <c r="D33" s="218">
        <v>32.658624000000003</v>
      </c>
      <c r="E33" s="216">
        <v>93.68</v>
      </c>
    </row>
    <row r="34" spans="1:5">
      <c r="A34" t="s">
        <v>109</v>
      </c>
      <c r="B34" s="233">
        <v>4</v>
      </c>
      <c r="C34" s="218">
        <v>708</v>
      </c>
      <c r="D34" s="218">
        <v>321.14313600000003</v>
      </c>
      <c r="E34" s="216">
        <v>1081.27</v>
      </c>
    </row>
    <row r="35" spans="1:5">
      <c r="A35" t="s">
        <v>294</v>
      </c>
      <c r="B35" s="233">
        <v>3</v>
      </c>
      <c r="C35" s="218">
        <v>1449</v>
      </c>
      <c r="D35" s="218">
        <v>657.25480799999991</v>
      </c>
      <c r="E35" s="216">
        <v>1014.3</v>
      </c>
    </row>
    <row r="36" spans="1:5">
      <c r="A36" t="s">
        <v>26</v>
      </c>
      <c r="B36" s="233">
        <v>2</v>
      </c>
      <c r="C36" s="218">
        <v>1275</v>
      </c>
      <c r="D36" s="218">
        <v>578.32979999999998</v>
      </c>
      <c r="E36" s="216">
        <v>3339.8</v>
      </c>
    </row>
    <row r="37" spans="1:5">
      <c r="A37" t="s">
        <v>23</v>
      </c>
      <c r="B37" s="233">
        <v>10</v>
      </c>
      <c r="C37" s="218">
        <v>5675</v>
      </c>
      <c r="D37" s="218">
        <v>2574.1345999999999</v>
      </c>
      <c r="E37" s="216">
        <v>6303.48</v>
      </c>
    </row>
    <row r="38" spans="1:5">
      <c r="A38" t="s">
        <v>165</v>
      </c>
      <c r="B38" s="233">
        <v>1</v>
      </c>
      <c r="C38" s="218">
        <v>11</v>
      </c>
      <c r="D38" s="218">
        <v>4.9895119999999995</v>
      </c>
      <c r="E38" s="216">
        <v>58.5</v>
      </c>
    </row>
    <row r="39" spans="1:5">
      <c r="A39" t="s">
        <v>104</v>
      </c>
      <c r="B39" s="233">
        <v>1</v>
      </c>
      <c r="C39" s="218">
        <v>1.4</v>
      </c>
      <c r="D39" s="218">
        <v>0.63502879999999995</v>
      </c>
      <c r="E39" s="216">
        <v>73.75</v>
      </c>
    </row>
    <row r="40" spans="1:5">
      <c r="A40" t="s">
        <v>299</v>
      </c>
      <c r="B40" s="233">
        <v>2</v>
      </c>
      <c r="C40" s="218">
        <v>101</v>
      </c>
      <c r="D40" s="218">
        <v>45.812791999999995</v>
      </c>
      <c r="E40" s="216">
        <v>69.7</v>
      </c>
    </row>
    <row r="41" spans="1:5">
      <c r="A41" t="s">
        <v>84</v>
      </c>
      <c r="B41" s="233">
        <v>12</v>
      </c>
      <c r="C41" s="218">
        <v>653.5</v>
      </c>
      <c r="D41" s="218">
        <v>296.422372</v>
      </c>
      <c r="E41" s="216">
        <v>1771.83</v>
      </c>
    </row>
    <row r="42" spans="1:5">
      <c r="A42" t="s">
        <v>93</v>
      </c>
      <c r="B42" s="233">
        <v>2</v>
      </c>
      <c r="C42" s="218">
        <v>11</v>
      </c>
      <c r="D42" s="218">
        <v>4.9895119999999995</v>
      </c>
      <c r="E42" s="216">
        <v>73.900000000000006</v>
      </c>
    </row>
    <row r="43" spans="1:5">
      <c r="A43" t="s">
        <v>183</v>
      </c>
      <c r="B43" s="233">
        <v>4</v>
      </c>
      <c r="C43" s="218">
        <v>362</v>
      </c>
      <c r="D43" s="218">
        <v>164.20030399999999</v>
      </c>
      <c r="E43" s="216">
        <v>461.18000000000006</v>
      </c>
    </row>
    <row r="44" spans="1:5">
      <c r="A44" t="s">
        <v>281</v>
      </c>
      <c r="B44" s="233">
        <v>1</v>
      </c>
      <c r="C44" s="218">
        <v>1</v>
      </c>
      <c r="D44" s="218">
        <v>0.453592</v>
      </c>
      <c r="E44" s="216">
        <v>72.8</v>
      </c>
    </row>
    <row r="45" spans="1:5">
      <c r="A45" t="s">
        <v>298</v>
      </c>
      <c r="B45" s="233">
        <v>2</v>
      </c>
      <c r="C45" s="218">
        <v>314</v>
      </c>
      <c r="D45" s="218">
        <v>142.427888</v>
      </c>
      <c r="E45" s="216">
        <v>251.2</v>
      </c>
    </row>
    <row r="46" spans="1:5">
      <c r="A46" t="s">
        <v>107</v>
      </c>
      <c r="B46" s="233">
        <v>3</v>
      </c>
      <c r="C46" s="218">
        <v>59.5</v>
      </c>
      <c r="D46" s="218">
        <v>26.988724000000001</v>
      </c>
      <c r="E46" s="216">
        <v>987.05</v>
      </c>
    </row>
    <row r="47" spans="1:5">
      <c r="A47" t="s">
        <v>96</v>
      </c>
      <c r="B47" s="233">
        <v>30</v>
      </c>
      <c r="C47" s="218">
        <v>30663</v>
      </c>
      <c r="D47" s="218">
        <v>13908.491495999997</v>
      </c>
      <c r="E47" s="216">
        <v>56209.989999999991</v>
      </c>
    </row>
    <row r="48" spans="1:5">
      <c r="A48" t="s">
        <v>163</v>
      </c>
      <c r="B48" s="233">
        <v>29</v>
      </c>
      <c r="C48" s="218">
        <v>7892</v>
      </c>
      <c r="D48" s="218">
        <v>3579.7480639999999</v>
      </c>
      <c r="E48" s="216">
        <v>17859.230000000003</v>
      </c>
    </row>
    <row r="49" spans="1:5">
      <c r="A49" t="s">
        <v>167</v>
      </c>
      <c r="B49" s="233">
        <v>2</v>
      </c>
      <c r="C49" s="218">
        <v>5.5</v>
      </c>
      <c r="D49" s="218">
        <v>2.4947560000000002</v>
      </c>
      <c r="E49" s="216">
        <v>70.5</v>
      </c>
    </row>
    <row r="50" spans="1:5">
      <c r="A50" t="s">
        <v>143</v>
      </c>
      <c r="B50" s="233">
        <v>18</v>
      </c>
      <c r="C50" s="218">
        <v>7586</v>
      </c>
      <c r="D50" s="218">
        <v>3440.9489119999998</v>
      </c>
      <c r="E50" s="216">
        <v>11741.18</v>
      </c>
    </row>
    <row r="51" spans="1:5">
      <c r="A51" t="s">
        <v>71</v>
      </c>
      <c r="B51" s="233">
        <v>55</v>
      </c>
      <c r="C51" s="218">
        <v>51994.9</v>
      </c>
      <c r="D51" s="218">
        <v>23584.470680799994</v>
      </c>
      <c r="E51" s="216">
        <v>138380.85999999999</v>
      </c>
    </row>
    <row r="52" spans="1:5">
      <c r="A52" t="s">
        <v>203</v>
      </c>
      <c r="B52" s="233">
        <v>2</v>
      </c>
      <c r="C52" s="218">
        <v>180</v>
      </c>
      <c r="D52" s="218">
        <v>81.646559999999994</v>
      </c>
      <c r="E52" s="216">
        <v>180</v>
      </c>
    </row>
    <row r="53" spans="1:5">
      <c r="A53" t="s">
        <v>158</v>
      </c>
      <c r="B53" s="233">
        <v>23</v>
      </c>
      <c r="C53" s="218">
        <v>20443</v>
      </c>
      <c r="D53" s="218">
        <v>9272.7812559999984</v>
      </c>
      <c r="E53" s="216">
        <v>24043.17</v>
      </c>
    </row>
    <row r="54" spans="1:5">
      <c r="A54" t="s">
        <v>301</v>
      </c>
      <c r="B54" s="233">
        <v>1</v>
      </c>
      <c r="C54" s="218">
        <v>11</v>
      </c>
      <c r="D54" s="218">
        <v>4.9895119999999995</v>
      </c>
      <c r="E54" s="216">
        <v>8</v>
      </c>
    </row>
    <row r="55" spans="1:5">
      <c r="A55" t="s">
        <v>190</v>
      </c>
      <c r="B55" s="233">
        <v>1</v>
      </c>
      <c r="C55" s="218">
        <v>35</v>
      </c>
      <c r="D55" s="218">
        <v>15.875719999999999</v>
      </c>
      <c r="E55" s="216">
        <v>24.5</v>
      </c>
    </row>
    <row r="56" spans="1:5">
      <c r="A56" t="s">
        <v>239</v>
      </c>
      <c r="B56" s="233">
        <v>1</v>
      </c>
      <c r="C56" s="218">
        <v>26</v>
      </c>
      <c r="D56" s="218">
        <v>11.793392000000001</v>
      </c>
      <c r="E56" s="216">
        <v>185.55</v>
      </c>
    </row>
    <row r="57" spans="1:5">
      <c r="A57" t="s">
        <v>87</v>
      </c>
      <c r="B57" s="233">
        <v>22</v>
      </c>
      <c r="C57" s="218">
        <v>3140.9</v>
      </c>
      <c r="D57" s="218">
        <v>1424.6871127999998</v>
      </c>
      <c r="E57" s="216">
        <v>5006.4299999999985</v>
      </c>
    </row>
    <row r="58" spans="1:5">
      <c r="A58" t="s">
        <v>139</v>
      </c>
      <c r="B58" s="233">
        <v>28</v>
      </c>
      <c r="C58" s="218">
        <v>5037</v>
      </c>
      <c r="D58" s="218">
        <v>2284.7429040000002</v>
      </c>
      <c r="E58" s="216">
        <v>21885.419999999991</v>
      </c>
    </row>
    <row r="59" spans="1:5">
      <c r="A59" t="s">
        <v>58</v>
      </c>
      <c r="B59" s="233">
        <v>36</v>
      </c>
      <c r="C59" s="218">
        <v>17922</v>
      </c>
      <c r="D59" s="218">
        <v>8129.2758240000021</v>
      </c>
      <c r="E59" s="216">
        <v>29263.85</v>
      </c>
    </row>
    <row r="60" spans="1:5">
      <c r="A60" t="s">
        <v>137</v>
      </c>
      <c r="B60" s="233">
        <v>39</v>
      </c>
      <c r="C60" s="218">
        <v>18928</v>
      </c>
      <c r="D60" s="218">
        <v>8585.5893760000017</v>
      </c>
      <c r="E60" s="216">
        <v>32119.810000000005</v>
      </c>
    </row>
    <row r="61" spans="1:5">
      <c r="A61" t="s">
        <v>59</v>
      </c>
      <c r="B61" s="233">
        <v>71</v>
      </c>
      <c r="C61" s="218">
        <v>78142.91</v>
      </c>
      <c r="D61" s="218">
        <v>35444.998832719997</v>
      </c>
      <c r="E61" s="216">
        <v>101093.01999999997</v>
      </c>
    </row>
    <row r="62" spans="1:5">
      <c r="A62" t="s">
        <v>147</v>
      </c>
      <c r="B62" s="233">
        <v>16</v>
      </c>
      <c r="C62" s="218">
        <v>5161.3999999999996</v>
      </c>
      <c r="D62" s="218">
        <v>2341.1697487999995</v>
      </c>
      <c r="E62" s="216">
        <v>6701.9600000000009</v>
      </c>
    </row>
    <row r="63" spans="1:5">
      <c r="A63" t="s">
        <v>177</v>
      </c>
      <c r="B63" s="233">
        <v>1</v>
      </c>
      <c r="C63" s="218">
        <v>40</v>
      </c>
      <c r="D63" s="218">
        <v>18.14368</v>
      </c>
      <c r="E63" s="216">
        <v>60</v>
      </c>
    </row>
    <row r="64" spans="1:5">
      <c r="A64" t="s">
        <v>130</v>
      </c>
      <c r="B64" s="233">
        <v>13</v>
      </c>
      <c r="C64" s="218">
        <v>31892</v>
      </c>
      <c r="D64" s="218">
        <v>14465.956063999998</v>
      </c>
      <c r="E64" s="216">
        <v>59867.74</v>
      </c>
    </row>
    <row r="65" spans="1:5">
      <c r="A65" t="s">
        <v>48</v>
      </c>
      <c r="B65" s="233">
        <v>19</v>
      </c>
      <c r="C65" s="218">
        <v>9777.7999999999993</v>
      </c>
      <c r="D65" s="218">
        <v>4435.1318576000003</v>
      </c>
      <c r="E65" s="216">
        <v>36859.050000000003</v>
      </c>
    </row>
    <row r="66" spans="1:5">
      <c r="A66" t="s">
        <v>300</v>
      </c>
      <c r="B66" s="233">
        <v>3</v>
      </c>
      <c r="C66" s="218">
        <v>69</v>
      </c>
      <c r="D66" s="218">
        <v>31.297848000000002</v>
      </c>
      <c r="E66" s="216">
        <v>74</v>
      </c>
    </row>
    <row r="67" spans="1:5">
      <c r="A67" t="s">
        <v>228</v>
      </c>
      <c r="B67" s="233">
        <v>4</v>
      </c>
      <c r="C67" s="218">
        <v>1903</v>
      </c>
      <c r="D67" s="218">
        <v>863.18557600000008</v>
      </c>
      <c r="E67" s="216">
        <v>1926.4</v>
      </c>
    </row>
    <row r="68" spans="1:5">
      <c r="A68" t="s">
        <v>101</v>
      </c>
      <c r="B68" s="233">
        <v>3</v>
      </c>
      <c r="C68" s="218">
        <v>13.040000000000001</v>
      </c>
      <c r="D68" s="218">
        <v>5.91483968</v>
      </c>
      <c r="E68" s="216">
        <v>370.95</v>
      </c>
    </row>
    <row r="69" spans="1:5">
      <c r="A69" t="s">
        <v>36</v>
      </c>
      <c r="B69" s="233">
        <v>54</v>
      </c>
      <c r="C69" s="218">
        <v>6434.6900000000005</v>
      </c>
      <c r="D69" s="218">
        <v>2918.723906480001</v>
      </c>
      <c r="E69" s="216">
        <v>21161.749999999996</v>
      </c>
    </row>
    <row r="70" spans="1:5">
      <c r="A70" t="s">
        <v>126</v>
      </c>
      <c r="B70" s="233">
        <v>1</v>
      </c>
      <c r="C70" s="218">
        <v>353</v>
      </c>
      <c r="D70" s="218">
        <v>160.117976</v>
      </c>
      <c r="E70" s="216">
        <v>512</v>
      </c>
    </row>
    <row r="71" spans="1:5">
      <c r="A71" t="s">
        <v>204</v>
      </c>
      <c r="B71" s="233">
        <v>3</v>
      </c>
      <c r="C71" s="218">
        <v>251</v>
      </c>
      <c r="D71" s="218">
        <v>113.851592</v>
      </c>
      <c r="E71" s="216">
        <v>277.5</v>
      </c>
    </row>
    <row r="72" spans="1:5">
      <c r="A72" t="s">
        <v>76</v>
      </c>
      <c r="B72" s="233">
        <v>57</v>
      </c>
      <c r="C72" s="218">
        <v>12091.75</v>
      </c>
      <c r="D72" s="218">
        <v>5484.721066000001</v>
      </c>
      <c r="E72" s="216">
        <v>22297.69</v>
      </c>
    </row>
    <row r="73" spans="1:5">
      <c r="A73" t="s">
        <v>43</v>
      </c>
      <c r="B73" s="233">
        <v>27</v>
      </c>
      <c r="C73" s="218">
        <v>98250</v>
      </c>
      <c r="D73" s="218">
        <v>44565.414000000012</v>
      </c>
      <c r="E73" s="216">
        <v>102208.11000000002</v>
      </c>
    </row>
    <row r="74" spans="1:5">
      <c r="A74" t="s">
        <v>105</v>
      </c>
      <c r="B74" s="233">
        <v>1</v>
      </c>
      <c r="C74" s="218">
        <v>0.84</v>
      </c>
      <c r="D74" s="218">
        <v>0.38101727999999996</v>
      </c>
      <c r="E74" s="216">
        <v>44.25</v>
      </c>
    </row>
    <row r="75" spans="1:5">
      <c r="A75" t="s">
        <v>201</v>
      </c>
      <c r="B75" s="233">
        <v>1</v>
      </c>
      <c r="C75" s="218">
        <v>105</v>
      </c>
      <c r="D75" s="218">
        <v>47.627159999999996</v>
      </c>
      <c r="E75" s="216">
        <v>73.5</v>
      </c>
    </row>
    <row r="76" spans="1:5">
      <c r="A76" t="s">
        <v>73</v>
      </c>
      <c r="B76" s="233">
        <v>7</v>
      </c>
      <c r="C76" s="218">
        <v>470</v>
      </c>
      <c r="D76" s="218">
        <v>213.18824000000001</v>
      </c>
      <c r="E76" s="216">
        <v>1024</v>
      </c>
    </row>
    <row r="77" spans="1:5">
      <c r="A77" t="s">
        <v>102</v>
      </c>
      <c r="B77" s="233">
        <v>25</v>
      </c>
      <c r="C77" s="218">
        <v>697.7</v>
      </c>
      <c r="D77" s="218">
        <v>316.47113839999997</v>
      </c>
      <c r="E77" s="216">
        <v>1570.8299999999997</v>
      </c>
    </row>
    <row r="78" spans="1:5">
      <c r="A78" t="s">
        <v>246</v>
      </c>
      <c r="B78" s="233">
        <v>2</v>
      </c>
      <c r="C78" s="218">
        <v>240</v>
      </c>
      <c r="D78" s="218">
        <v>108.86208000000001</v>
      </c>
      <c r="E78" s="216">
        <v>582.67000000000007</v>
      </c>
    </row>
    <row r="79" spans="1:5">
      <c r="A79" t="s">
        <v>191</v>
      </c>
      <c r="B79" s="233">
        <v>5</v>
      </c>
      <c r="C79" s="218">
        <v>820</v>
      </c>
      <c r="D79" s="218">
        <v>371.94543999999996</v>
      </c>
      <c r="E79" s="216">
        <v>1755.8600000000001</v>
      </c>
    </row>
    <row r="80" spans="1:5">
      <c r="A80" t="s">
        <v>154</v>
      </c>
      <c r="B80" s="233">
        <v>23</v>
      </c>
      <c r="C80" s="218">
        <v>34388</v>
      </c>
      <c r="D80" s="218">
        <v>15598.121695999997</v>
      </c>
      <c r="E80" s="216">
        <v>43371.310000000012</v>
      </c>
    </row>
    <row r="81" spans="1:5">
      <c r="A81" t="s">
        <v>169</v>
      </c>
      <c r="B81" s="233">
        <v>11</v>
      </c>
      <c r="C81" s="218">
        <v>742</v>
      </c>
      <c r="D81" s="218">
        <v>336.56526399999996</v>
      </c>
      <c r="E81" s="216">
        <v>2845.46</v>
      </c>
    </row>
    <row r="82" spans="1:5">
      <c r="A82" t="s">
        <v>61</v>
      </c>
      <c r="B82" s="233">
        <v>39</v>
      </c>
      <c r="C82" s="218">
        <v>8801</v>
      </c>
      <c r="D82" s="218">
        <v>3992.0631919999992</v>
      </c>
      <c r="E82" s="216">
        <v>34061.229999999996</v>
      </c>
    </row>
    <row r="83" spans="1:5">
      <c r="A83" t="s">
        <v>81</v>
      </c>
      <c r="B83" s="233">
        <v>60</v>
      </c>
      <c r="C83" s="218">
        <v>18407.04</v>
      </c>
      <c r="D83" s="218">
        <v>8349.2860876800023</v>
      </c>
      <c r="E83" s="216">
        <v>36705.31</v>
      </c>
    </row>
    <row r="84" spans="1:5">
      <c r="A84" t="s">
        <v>117</v>
      </c>
      <c r="B84" s="233">
        <v>3</v>
      </c>
      <c r="C84" s="218">
        <v>34.620000000000005</v>
      </c>
      <c r="D84" s="218">
        <v>15.703355040000002</v>
      </c>
      <c r="E84" s="216">
        <v>246</v>
      </c>
    </row>
    <row r="85" spans="1:5">
      <c r="A85" t="s">
        <v>119</v>
      </c>
      <c r="B85" s="233">
        <v>14</v>
      </c>
      <c r="C85" s="218">
        <v>21302.13</v>
      </c>
      <c r="D85" s="218">
        <v>9662.4757509600004</v>
      </c>
      <c r="E85" s="216">
        <v>36512.22</v>
      </c>
    </row>
    <row r="86" spans="1:5">
      <c r="A86" t="s">
        <v>267</v>
      </c>
      <c r="B86" s="233">
        <v>1</v>
      </c>
      <c r="C86" s="218">
        <v>1.9</v>
      </c>
      <c r="D86" s="218">
        <v>0.86182479999999995</v>
      </c>
      <c r="E86" s="216">
        <v>88.9</v>
      </c>
    </row>
    <row r="87" spans="1:5">
      <c r="A87" t="s">
        <v>159</v>
      </c>
      <c r="B87" s="233">
        <v>18</v>
      </c>
      <c r="C87" s="218">
        <v>12310</v>
      </c>
      <c r="D87" s="218">
        <v>5583.7175200000011</v>
      </c>
      <c r="E87" s="216">
        <v>28206.219999999998</v>
      </c>
    </row>
    <row r="88" spans="1:5">
      <c r="A88" t="s">
        <v>217</v>
      </c>
      <c r="B88" s="233">
        <v>2</v>
      </c>
      <c r="C88" s="218">
        <v>120</v>
      </c>
      <c r="D88" s="218">
        <v>54.431039999999996</v>
      </c>
      <c r="E88" s="216">
        <v>163.42000000000002</v>
      </c>
    </row>
    <row r="89" spans="1:5">
      <c r="A89" t="s">
        <v>171</v>
      </c>
      <c r="B89" s="233">
        <v>2</v>
      </c>
      <c r="C89" s="218">
        <v>56</v>
      </c>
      <c r="D89" s="218">
        <v>25.401152</v>
      </c>
      <c r="E89" s="216">
        <v>86.5</v>
      </c>
    </row>
    <row r="90" spans="1:5">
      <c r="A90" t="s">
        <v>173</v>
      </c>
      <c r="B90" s="233">
        <v>4</v>
      </c>
      <c r="C90" s="218">
        <v>3523</v>
      </c>
      <c r="D90" s="218">
        <v>1598.0046159999999</v>
      </c>
      <c r="E90" s="216">
        <v>7813.92</v>
      </c>
    </row>
    <row r="91" spans="1:5">
      <c r="A91" t="s">
        <v>141</v>
      </c>
      <c r="B91" s="233">
        <v>36</v>
      </c>
      <c r="C91" s="218">
        <v>73577</v>
      </c>
      <c r="D91" s="218">
        <v>33373.938584000003</v>
      </c>
      <c r="E91" s="216">
        <v>33168.21</v>
      </c>
    </row>
    <row r="92" spans="1:5">
      <c r="A92" t="s">
        <v>227</v>
      </c>
      <c r="B92" s="233">
        <v>5</v>
      </c>
      <c r="C92" s="218">
        <v>767</v>
      </c>
      <c r="D92" s="218">
        <v>347.90506400000004</v>
      </c>
      <c r="E92" s="216">
        <v>1435.75</v>
      </c>
    </row>
    <row r="93" spans="1:5">
      <c r="A93" t="s">
        <v>54</v>
      </c>
      <c r="B93" s="233">
        <v>31</v>
      </c>
      <c r="C93" s="218">
        <v>18713.5</v>
      </c>
      <c r="D93" s="218">
        <v>8488.2938920000015</v>
      </c>
      <c r="E93" s="216">
        <v>15107.34</v>
      </c>
    </row>
    <row r="94" spans="1:5">
      <c r="A94" t="s">
        <v>29</v>
      </c>
      <c r="B94" s="233">
        <v>1</v>
      </c>
      <c r="C94" s="218">
        <v>10</v>
      </c>
      <c r="D94" s="218">
        <v>4.53592</v>
      </c>
      <c r="E94" s="216">
        <v>28</v>
      </c>
    </row>
    <row r="95" spans="1:5">
      <c r="A95" t="s">
        <v>75</v>
      </c>
      <c r="B95" s="233">
        <v>3</v>
      </c>
      <c r="C95" s="218">
        <v>157.5</v>
      </c>
      <c r="D95" s="218">
        <v>71.440740000000005</v>
      </c>
      <c r="E95" s="216">
        <v>1275</v>
      </c>
    </row>
    <row r="96" spans="1:5">
      <c r="A96" t="s">
        <v>42</v>
      </c>
      <c r="B96" s="233">
        <v>6</v>
      </c>
      <c r="C96" s="218">
        <v>33.76</v>
      </c>
      <c r="D96" s="218">
        <v>15.313265919999999</v>
      </c>
      <c r="E96" s="216">
        <v>739.94999999999993</v>
      </c>
    </row>
    <row r="97" spans="1:5">
      <c r="A97" t="s">
        <v>106</v>
      </c>
      <c r="B97" s="233">
        <v>1</v>
      </c>
      <c r="C97" s="218">
        <v>0.84</v>
      </c>
      <c r="D97" s="218">
        <v>0.38101727999999996</v>
      </c>
      <c r="E97" s="216">
        <v>44.25</v>
      </c>
    </row>
    <row r="98" spans="1:5">
      <c r="A98" t="s">
        <v>132</v>
      </c>
      <c r="B98" s="233">
        <v>3</v>
      </c>
      <c r="C98" s="218">
        <v>237</v>
      </c>
      <c r="D98" s="218">
        <v>107.501304</v>
      </c>
      <c r="E98" s="216">
        <v>297.60000000000002</v>
      </c>
    </row>
    <row r="99" spans="1:5">
      <c r="A99" t="s">
        <v>193</v>
      </c>
      <c r="B99" s="233">
        <v>1</v>
      </c>
      <c r="C99" s="218">
        <v>30</v>
      </c>
      <c r="D99" s="218">
        <v>13.607759999999999</v>
      </c>
      <c r="E99" s="216">
        <v>100</v>
      </c>
    </row>
    <row r="100" spans="1:5">
      <c r="A100" t="s">
        <v>296</v>
      </c>
      <c r="B100" s="233">
        <v>1</v>
      </c>
      <c r="C100" s="218">
        <v>17</v>
      </c>
      <c r="D100" s="218">
        <v>7.7110640000000004</v>
      </c>
      <c r="E100" s="216">
        <v>21.25</v>
      </c>
    </row>
    <row r="101" spans="1:5">
      <c r="A101" t="s">
        <v>50</v>
      </c>
      <c r="B101" s="233">
        <v>24</v>
      </c>
      <c r="C101" s="218">
        <v>2365.7399999999998</v>
      </c>
      <c r="D101" s="218">
        <v>1073.0807380799999</v>
      </c>
      <c r="E101" s="216">
        <v>7769.13</v>
      </c>
    </row>
    <row r="102" spans="1:5">
      <c r="A102" t="s">
        <v>63</v>
      </c>
      <c r="B102" s="233">
        <v>42</v>
      </c>
      <c r="C102" s="218">
        <v>7475.27</v>
      </c>
      <c r="D102" s="218">
        <v>3390.7226698399995</v>
      </c>
      <c r="E102" s="216">
        <v>8235.4600000000009</v>
      </c>
    </row>
    <row r="103" spans="1:5">
      <c r="A103" t="s">
        <v>65</v>
      </c>
      <c r="B103" s="233">
        <v>13</v>
      </c>
      <c r="C103" s="218">
        <v>11040</v>
      </c>
      <c r="D103" s="218">
        <v>5007.6556799999989</v>
      </c>
      <c r="E103" s="216">
        <v>66442.5</v>
      </c>
    </row>
    <row r="104" spans="1:5">
      <c r="A104" t="s">
        <v>83</v>
      </c>
      <c r="B104" s="233">
        <v>12</v>
      </c>
      <c r="C104" s="218">
        <v>1588</v>
      </c>
      <c r="D104" s="218">
        <v>720.30409599999984</v>
      </c>
      <c r="E104" s="216">
        <v>2799.3199999999997</v>
      </c>
    </row>
    <row r="105" spans="1:5">
      <c r="A105" t="s">
        <v>128</v>
      </c>
      <c r="B105" s="233">
        <v>23</v>
      </c>
      <c r="C105" s="218">
        <v>15561</v>
      </c>
      <c r="D105" s="218">
        <v>7058.3451119999991</v>
      </c>
      <c r="E105" s="216">
        <v>28928.699999999997</v>
      </c>
    </row>
    <row r="106" spans="1:5">
      <c r="A106" t="s">
        <v>175</v>
      </c>
      <c r="B106" s="233">
        <v>1</v>
      </c>
      <c r="C106" s="218">
        <v>16</v>
      </c>
      <c r="D106" s="218">
        <v>7.2574719999999999</v>
      </c>
      <c r="E106" s="216">
        <v>69.25</v>
      </c>
    </row>
    <row r="107" spans="1:5">
      <c r="A107" t="s">
        <v>176</v>
      </c>
      <c r="B107" s="233">
        <v>4</v>
      </c>
      <c r="C107" s="218">
        <v>430</v>
      </c>
      <c r="D107" s="218">
        <v>195.04455999999999</v>
      </c>
      <c r="E107" s="216">
        <v>631.56999999999994</v>
      </c>
    </row>
    <row r="108" spans="1:5">
      <c r="A108" t="s">
        <v>184</v>
      </c>
      <c r="B108" s="233">
        <v>7</v>
      </c>
      <c r="C108" s="218">
        <v>832</v>
      </c>
      <c r="D108" s="218">
        <v>377.38854399999997</v>
      </c>
      <c r="E108" s="216">
        <v>2775.84</v>
      </c>
    </row>
    <row r="109" spans="1:5">
      <c r="A109" t="s">
        <v>53</v>
      </c>
      <c r="B109" s="233">
        <v>1</v>
      </c>
      <c r="C109" s="218">
        <v>1</v>
      </c>
      <c r="D109" s="218">
        <v>0.453592</v>
      </c>
      <c r="E109" s="216">
        <v>11.2</v>
      </c>
    </row>
    <row r="110" spans="1:5">
      <c r="A110" t="s">
        <v>35</v>
      </c>
      <c r="B110" s="233">
        <v>3</v>
      </c>
      <c r="C110" s="218">
        <v>3</v>
      </c>
      <c r="D110" s="218">
        <v>1.360776</v>
      </c>
      <c r="E110" s="216">
        <v>33.599999999999994</v>
      </c>
    </row>
    <row r="111" spans="1:5">
      <c r="A111" t="s">
        <v>31</v>
      </c>
      <c r="B111" s="233">
        <v>4</v>
      </c>
      <c r="C111" s="218">
        <v>8.64</v>
      </c>
      <c r="D111" s="218">
        <v>3.9190348799999999</v>
      </c>
      <c r="E111" s="216">
        <v>226.75</v>
      </c>
    </row>
    <row r="112" spans="1:5">
      <c r="A112" t="s">
        <v>103</v>
      </c>
      <c r="B112" s="233">
        <v>1</v>
      </c>
      <c r="C112" s="218">
        <v>6</v>
      </c>
      <c r="D112" s="218">
        <v>2.721552</v>
      </c>
      <c r="E112" s="216">
        <v>153</v>
      </c>
    </row>
    <row r="113" spans="1:5">
      <c r="A113" t="s">
        <v>280</v>
      </c>
      <c r="B113" s="233">
        <v>2</v>
      </c>
      <c r="C113" s="218">
        <v>5</v>
      </c>
      <c r="D113" s="218">
        <v>2.26796</v>
      </c>
      <c r="E113" s="216">
        <v>35</v>
      </c>
    </row>
    <row r="114" spans="1:5">
      <c r="A114" t="s">
        <v>146</v>
      </c>
      <c r="B114" s="233">
        <v>6</v>
      </c>
      <c r="C114" s="218">
        <v>246</v>
      </c>
      <c r="D114" s="218">
        <v>111.58363200000001</v>
      </c>
      <c r="E114" s="216">
        <v>635.41</v>
      </c>
    </row>
    <row r="115" spans="1:5">
      <c r="A115" t="s">
        <v>38</v>
      </c>
      <c r="B115" s="233">
        <v>66</v>
      </c>
      <c r="C115" s="218">
        <v>42239.66</v>
      </c>
      <c r="D115" s="218">
        <v>19159.571858720014</v>
      </c>
      <c r="E115" s="216">
        <v>87921.01999999999</v>
      </c>
    </row>
    <row r="116" spans="1:5">
      <c r="A116" t="s">
        <v>52</v>
      </c>
      <c r="B116" s="233">
        <v>5</v>
      </c>
      <c r="C116" s="218">
        <v>153</v>
      </c>
      <c r="D116" s="218">
        <v>69.399575999999996</v>
      </c>
      <c r="E116" s="216">
        <v>221.31</v>
      </c>
    </row>
    <row r="117" spans="1:5">
      <c r="A117" t="s">
        <v>118</v>
      </c>
      <c r="B117" s="233">
        <v>2</v>
      </c>
      <c r="C117" s="218">
        <v>10.199999999999999</v>
      </c>
      <c r="D117" s="218">
        <v>4.6266384</v>
      </c>
      <c r="E117" s="216">
        <v>137.5</v>
      </c>
    </row>
    <row r="118" spans="1:5">
      <c r="A118" t="s">
        <v>161</v>
      </c>
      <c r="B118" s="233">
        <v>25</v>
      </c>
      <c r="C118" s="218">
        <v>41931.800000000003</v>
      </c>
      <c r="D118" s="218">
        <v>19019.929025600002</v>
      </c>
      <c r="E118" s="216">
        <v>31125.11</v>
      </c>
    </row>
    <row r="119" spans="1:5">
      <c r="A119" t="s">
        <v>135</v>
      </c>
      <c r="B119" s="233">
        <v>13</v>
      </c>
      <c r="C119" s="218">
        <v>5239</v>
      </c>
      <c r="D119" s="218">
        <v>2376.3684880000001</v>
      </c>
      <c r="E119" s="216">
        <v>8159.1399999999994</v>
      </c>
    </row>
    <row r="120" spans="1:5">
      <c r="A120" t="s">
        <v>196</v>
      </c>
      <c r="B120" s="233">
        <v>1</v>
      </c>
      <c r="C120" s="218">
        <v>40</v>
      </c>
      <c r="D120" s="218">
        <v>18.14368</v>
      </c>
      <c r="E120" s="216">
        <v>23</v>
      </c>
    </row>
    <row r="121" spans="1:5">
      <c r="A121" t="s">
        <v>532</v>
      </c>
      <c r="B121" s="233">
        <v>1684</v>
      </c>
      <c r="C121" s="218">
        <v>1148121.99</v>
      </c>
      <c r="D121" s="218">
        <v>520778.94968807959</v>
      </c>
      <c r="E121" s="216">
        <v>1671787.130000002</v>
      </c>
    </row>
    <row r="122" spans="1:5">
      <c r="B122"/>
      <c r="C122"/>
    </row>
    <row r="123" spans="1:5">
      <c r="B123"/>
      <c r="C123"/>
    </row>
    <row r="124" spans="1:5">
      <c r="B124"/>
      <c r="C124"/>
    </row>
    <row r="125" spans="1:5">
      <c r="B125"/>
      <c r="C125"/>
    </row>
    <row r="126" spans="1:5">
      <c r="B126"/>
      <c r="C126"/>
    </row>
    <row r="127" spans="1:5">
      <c r="B127"/>
      <c r="C127"/>
    </row>
    <row r="128" spans="1:5">
      <c r="B128"/>
      <c r="C128"/>
    </row>
    <row r="129" spans="2:3">
      <c r="B129"/>
      <c r="C129"/>
    </row>
    <row r="130" spans="2:3">
      <c r="B130"/>
      <c r="C130"/>
    </row>
    <row r="131" spans="2:3">
      <c r="B131"/>
      <c r="C131"/>
    </row>
    <row r="132" spans="2:3">
      <c r="B132"/>
      <c r="C132"/>
    </row>
    <row r="133" spans="2:3">
      <c r="B133"/>
      <c r="C133"/>
    </row>
    <row r="134" spans="2:3">
      <c r="B134"/>
      <c r="C134"/>
    </row>
    <row r="135" spans="2:3">
      <c r="B135"/>
      <c r="C135"/>
    </row>
    <row r="136" spans="2:3">
      <c r="B136"/>
      <c r="C136"/>
    </row>
    <row r="137" spans="2:3">
      <c r="B137"/>
      <c r="C137"/>
    </row>
    <row r="138" spans="2:3">
      <c r="B138"/>
      <c r="C138"/>
    </row>
    <row r="139" spans="2:3">
      <c r="B139"/>
      <c r="C139"/>
    </row>
    <row r="140" spans="2:3">
      <c r="B140"/>
      <c r="C140"/>
    </row>
    <row r="141" spans="2:3">
      <c r="B141"/>
      <c r="C141"/>
    </row>
    <row r="142" spans="2:3">
      <c r="B142"/>
      <c r="C142"/>
    </row>
    <row r="143" spans="2:3">
      <c r="B143"/>
      <c r="C143"/>
    </row>
    <row r="144" spans="2:3">
      <c r="B144"/>
      <c r="C144"/>
    </row>
    <row r="145" spans="2:3">
      <c r="B145"/>
      <c r="C145"/>
    </row>
    <row r="146" spans="2:3">
      <c r="B146"/>
      <c r="C146"/>
    </row>
    <row r="147" spans="2:3">
      <c r="B147"/>
      <c r="C147"/>
    </row>
    <row r="148" spans="2:3">
      <c r="B148"/>
      <c r="C148"/>
    </row>
    <row r="149" spans="2:3">
      <c r="B149"/>
      <c r="C149"/>
    </row>
    <row r="150" spans="2:3">
      <c r="B150"/>
      <c r="C150"/>
    </row>
    <row r="151" spans="2:3">
      <c r="B151"/>
      <c r="C151"/>
    </row>
    <row r="152" spans="2:3">
      <c r="B152"/>
      <c r="C152"/>
    </row>
    <row r="153" spans="2:3">
      <c r="B153"/>
      <c r="C153"/>
    </row>
    <row r="154" spans="2:3">
      <c r="B154"/>
      <c r="C154"/>
    </row>
    <row r="155" spans="2:3">
      <c r="B155"/>
      <c r="C155"/>
    </row>
    <row r="156" spans="2:3">
      <c r="B156"/>
      <c r="C156"/>
    </row>
    <row r="157" spans="2:3">
      <c r="B157"/>
      <c r="C157"/>
    </row>
    <row r="158" spans="2:3">
      <c r="B158"/>
      <c r="C158"/>
    </row>
    <row r="159" spans="2:3">
      <c r="B159"/>
      <c r="C159"/>
    </row>
    <row r="160" spans="2:3">
      <c r="B160"/>
      <c r="C160"/>
    </row>
    <row r="161" spans="2:3">
      <c r="B161"/>
      <c r="C161"/>
    </row>
    <row r="162" spans="2:3">
      <c r="B162"/>
      <c r="C162"/>
    </row>
    <row r="163" spans="2:3">
      <c r="B163"/>
      <c r="C163"/>
    </row>
    <row r="164" spans="2:3">
      <c r="B164"/>
      <c r="C164"/>
    </row>
    <row r="165" spans="2:3">
      <c r="B165"/>
      <c r="C165"/>
    </row>
    <row r="166" spans="2:3">
      <c r="B166"/>
      <c r="C166"/>
    </row>
    <row r="167" spans="2:3">
      <c r="B167"/>
      <c r="C167"/>
    </row>
    <row r="168" spans="2:3">
      <c r="B168"/>
      <c r="C168"/>
    </row>
    <row r="169" spans="2:3">
      <c r="B169"/>
      <c r="C169"/>
    </row>
    <row r="170" spans="2:3">
      <c r="B170"/>
      <c r="C170"/>
    </row>
    <row r="171" spans="2:3">
      <c r="B171"/>
      <c r="C171"/>
    </row>
    <row r="172" spans="2:3">
      <c r="B172"/>
      <c r="C172"/>
    </row>
    <row r="173" spans="2:3">
      <c r="B173"/>
      <c r="C173"/>
    </row>
    <row r="174" spans="2:3">
      <c r="B174"/>
      <c r="C174"/>
    </row>
    <row r="175" spans="2:3">
      <c r="B175"/>
      <c r="C175"/>
    </row>
    <row r="176" spans="2:3">
      <c r="B176"/>
      <c r="C176"/>
    </row>
    <row r="177" spans="2:3">
      <c r="B177"/>
      <c r="C177"/>
    </row>
    <row r="178" spans="2:3">
      <c r="B178"/>
      <c r="C178"/>
    </row>
    <row r="179" spans="2:3">
      <c r="B179"/>
      <c r="C179"/>
    </row>
    <row r="180" spans="2:3">
      <c r="B180"/>
      <c r="C180"/>
    </row>
    <row r="181" spans="2:3">
      <c r="B181"/>
      <c r="C181"/>
    </row>
    <row r="182" spans="2:3">
      <c r="B182"/>
      <c r="C182"/>
    </row>
    <row r="183" spans="2:3">
      <c r="B183"/>
      <c r="C183"/>
    </row>
    <row r="184" spans="2:3">
      <c r="B184"/>
      <c r="C184"/>
    </row>
    <row r="185" spans="2:3">
      <c r="B185"/>
      <c r="C185"/>
    </row>
    <row r="186" spans="2:3">
      <c r="B186"/>
      <c r="C186"/>
    </row>
    <row r="187" spans="2:3">
      <c r="B187"/>
      <c r="C187"/>
    </row>
    <row r="188" spans="2:3">
      <c r="B188"/>
      <c r="C188"/>
    </row>
    <row r="189" spans="2:3">
      <c r="B189"/>
      <c r="C189"/>
    </row>
    <row r="190" spans="2:3">
      <c r="B190"/>
      <c r="C190"/>
    </row>
    <row r="191" spans="2:3">
      <c r="B191"/>
      <c r="C191"/>
    </row>
    <row r="192" spans="2:3">
      <c r="B192"/>
      <c r="C192"/>
    </row>
    <row r="193" spans="2:3">
      <c r="B193"/>
      <c r="C193"/>
    </row>
    <row r="194" spans="2:3">
      <c r="B194"/>
      <c r="C194"/>
    </row>
    <row r="195" spans="2:3">
      <c r="B195"/>
      <c r="C195"/>
    </row>
    <row r="196" spans="2:3">
      <c r="B196"/>
      <c r="C196"/>
    </row>
    <row r="197" spans="2:3">
      <c r="B197"/>
      <c r="C197"/>
    </row>
    <row r="198" spans="2:3">
      <c r="B198"/>
      <c r="C198"/>
    </row>
    <row r="199" spans="2:3">
      <c r="B199"/>
      <c r="C199"/>
    </row>
    <row r="200" spans="2:3">
      <c r="B200"/>
      <c r="C200"/>
    </row>
    <row r="201" spans="2:3">
      <c r="B201"/>
      <c r="C201"/>
    </row>
    <row r="202" spans="2:3">
      <c r="B202"/>
      <c r="C202"/>
    </row>
    <row r="203" spans="2:3">
      <c r="B203"/>
      <c r="C203"/>
    </row>
    <row r="204" spans="2:3">
      <c r="B204"/>
      <c r="C204"/>
    </row>
    <row r="205" spans="2:3">
      <c r="B205"/>
      <c r="C205"/>
    </row>
    <row r="206" spans="2:3">
      <c r="B206"/>
      <c r="C206"/>
    </row>
    <row r="207" spans="2:3">
      <c r="B207"/>
      <c r="C207"/>
    </row>
    <row r="208" spans="2:3">
      <c r="B208"/>
      <c r="C208"/>
    </row>
    <row r="209" spans="2:3">
      <c r="B209"/>
      <c r="C209"/>
    </row>
    <row r="210" spans="2:3">
      <c r="B210"/>
      <c r="C210"/>
    </row>
    <row r="211" spans="2:3">
      <c r="B211"/>
      <c r="C211"/>
    </row>
    <row r="212" spans="2:3">
      <c r="B212"/>
      <c r="C212"/>
    </row>
    <row r="213" spans="2:3">
      <c r="B213"/>
      <c r="C213"/>
    </row>
    <row r="214" spans="2:3">
      <c r="B214"/>
      <c r="C214"/>
    </row>
    <row r="215" spans="2:3">
      <c r="B215"/>
      <c r="C215"/>
    </row>
    <row r="216" spans="2:3">
      <c r="B216"/>
      <c r="C216"/>
    </row>
    <row r="217" spans="2:3">
      <c r="B217"/>
      <c r="C217"/>
    </row>
    <row r="218" spans="2:3">
      <c r="B218"/>
      <c r="C218"/>
    </row>
    <row r="219" spans="2:3">
      <c r="B219"/>
      <c r="C219"/>
    </row>
    <row r="220" spans="2:3">
      <c r="B220"/>
      <c r="C220"/>
    </row>
    <row r="221" spans="2:3">
      <c r="B221"/>
      <c r="C221"/>
    </row>
    <row r="222" spans="2:3">
      <c r="B222"/>
      <c r="C222"/>
    </row>
    <row r="223" spans="2:3">
      <c r="B223"/>
      <c r="C223"/>
    </row>
    <row r="224" spans="2:3">
      <c r="B224"/>
      <c r="C224"/>
    </row>
    <row r="225" spans="2:3">
      <c r="B225"/>
      <c r="C225"/>
    </row>
    <row r="226" spans="2:3">
      <c r="B226"/>
      <c r="C226"/>
    </row>
    <row r="227" spans="2:3">
      <c r="B227"/>
      <c r="C227"/>
    </row>
    <row r="228" spans="2:3">
      <c r="B228"/>
      <c r="C228"/>
    </row>
    <row r="229" spans="2:3">
      <c r="B229"/>
      <c r="C229"/>
    </row>
    <row r="230" spans="2:3">
      <c r="B230"/>
      <c r="C230"/>
    </row>
    <row r="231" spans="2:3">
      <c r="B231"/>
      <c r="C231"/>
    </row>
    <row r="232" spans="2:3">
      <c r="B232"/>
      <c r="C232"/>
    </row>
    <row r="233" spans="2:3">
      <c r="B233"/>
      <c r="C233"/>
    </row>
    <row r="234" spans="2:3">
      <c r="B234"/>
      <c r="C234"/>
    </row>
    <row r="235" spans="2:3">
      <c r="B235"/>
      <c r="C235"/>
    </row>
    <row r="236" spans="2:3">
      <c r="B236"/>
      <c r="C236"/>
    </row>
    <row r="237" spans="2:3">
      <c r="B237"/>
      <c r="C237"/>
    </row>
    <row r="238" spans="2:3">
      <c r="B238"/>
      <c r="C238"/>
    </row>
    <row r="239" spans="2:3">
      <c r="B239"/>
      <c r="C239"/>
    </row>
    <row r="240" spans="2:3">
      <c r="B240"/>
      <c r="C240"/>
    </row>
    <row r="241" spans="2:3">
      <c r="B241"/>
      <c r="C241"/>
    </row>
    <row r="242" spans="2:3">
      <c r="B242"/>
      <c r="C242"/>
    </row>
    <row r="243" spans="2:3">
      <c r="B243"/>
      <c r="C243"/>
    </row>
    <row r="244" spans="2:3">
      <c r="B244"/>
      <c r="C244"/>
    </row>
    <row r="245" spans="2:3">
      <c r="B245"/>
      <c r="C245"/>
    </row>
    <row r="246" spans="2:3">
      <c r="B246"/>
      <c r="C246"/>
    </row>
    <row r="247" spans="2:3">
      <c r="B247"/>
      <c r="C247"/>
    </row>
    <row r="248" spans="2:3">
      <c r="B248"/>
      <c r="C248"/>
    </row>
    <row r="249" spans="2:3">
      <c r="B249"/>
      <c r="C249"/>
    </row>
    <row r="250" spans="2:3">
      <c r="B250"/>
      <c r="C250"/>
    </row>
    <row r="251" spans="2:3">
      <c r="B251"/>
      <c r="C251"/>
    </row>
    <row r="252" spans="2:3">
      <c r="B252"/>
      <c r="C252"/>
    </row>
    <row r="253" spans="2:3">
      <c r="B253"/>
      <c r="C253"/>
    </row>
    <row r="254" spans="2:3">
      <c r="B254"/>
      <c r="C254"/>
    </row>
    <row r="255" spans="2:3">
      <c r="B255"/>
      <c r="C255"/>
    </row>
    <row r="256" spans="2:3">
      <c r="B256"/>
      <c r="C256"/>
    </row>
    <row r="257" spans="2:3">
      <c r="B257"/>
      <c r="C257"/>
    </row>
    <row r="258" spans="2:3">
      <c r="B258"/>
      <c r="C258"/>
    </row>
    <row r="259" spans="2:3">
      <c r="B259"/>
      <c r="C259"/>
    </row>
    <row r="260" spans="2:3">
      <c r="B260"/>
      <c r="C260"/>
    </row>
    <row r="261" spans="2:3">
      <c r="B261"/>
      <c r="C261"/>
    </row>
    <row r="262" spans="2:3">
      <c r="B262"/>
      <c r="C262"/>
    </row>
    <row r="263" spans="2:3">
      <c r="B263"/>
      <c r="C263"/>
    </row>
    <row r="264" spans="2:3">
      <c r="B264"/>
      <c r="C264"/>
    </row>
    <row r="265" spans="2:3">
      <c r="B265"/>
      <c r="C265"/>
    </row>
    <row r="266" spans="2:3">
      <c r="B266"/>
      <c r="C266"/>
    </row>
    <row r="267" spans="2:3">
      <c r="B267"/>
      <c r="C267"/>
    </row>
    <row r="268" spans="2:3">
      <c r="B268"/>
      <c r="C268"/>
    </row>
    <row r="269" spans="2:3">
      <c r="B269"/>
      <c r="C269"/>
    </row>
    <row r="270" spans="2:3">
      <c r="B270"/>
      <c r="C270"/>
    </row>
    <row r="271" spans="2:3">
      <c r="B271"/>
      <c r="C271"/>
    </row>
    <row r="272" spans="2:3">
      <c r="B272"/>
      <c r="C272"/>
    </row>
    <row r="273" spans="2:3">
      <c r="B273"/>
      <c r="C273"/>
    </row>
    <row r="274" spans="2:3">
      <c r="B274"/>
      <c r="C274"/>
    </row>
    <row r="275" spans="2:3">
      <c r="B275"/>
      <c r="C275"/>
    </row>
    <row r="276" spans="2:3">
      <c r="B276"/>
      <c r="C276"/>
    </row>
    <row r="277" spans="2:3">
      <c r="B277"/>
      <c r="C277"/>
    </row>
    <row r="278" spans="2:3">
      <c r="B278"/>
      <c r="C278"/>
    </row>
    <row r="279" spans="2:3">
      <c r="B279"/>
      <c r="C279"/>
    </row>
    <row r="280" spans="2:3">
      <c r="B280"/>
      <c r="C280"/>
    </row>
    <row r="281" spans="2:3">
      <c r="B281"/>
      <c r="C281"/>
    </row>
    <row r="282" spans="2:3">
      <c r="B282"/>
      <c r="C282"/>
    </row>
    <row r="283" spans="2:3">
      <c r="B283"/>
      <c r="C283"/>
    </row>
    <row r="284" spans="2:3">
      <c r="B284"/>
      <c r="C284"/>
    </row>
    <row r="285" spans="2:3">
      <c r="B285"/>
      <c r="C285"/>
    </row>
    <row r="286" spans="2:3">
      <c r="B286"/>
      <c r="C286"/>
    </row>
    <row r="287" spans="2:3">
      <c r="B287"/>
      <c r="C287"/>
    </row>
    <row r="288" spans="2:3">
      <c r="B288"/>
      <c r="C288"/>
    </row>
    <row r="289" spans="2:3">
      <c r="B289"/>
      <c r="C289"/>
    </row>
    <row r="290" spans="2:3">
      <c r="B290"/>
      <c r="C290"/>
    </row>
    <row r="291" spans="2:3">
      <c r="B291"/>
      <c r="C291"/>
    </row>
    <row r="292" spans="2:3">
      <c r="B292"/>
      <c r="C292"/>
    </row>
    <row r="293" spans="2:3">
      <c r="B293"/>
      <c r="C293"/>
    </row>
    <row r="294" spans="2:3">
      <c r="B294"/>
      <c r="C294"/>
    </row>
    <row r="295" spans="2:3">
      <c r="B295"/>
      <c r="C295"/>
    </row>
    <row r="296" spans="2:3">
      <c r="B296"/>
      <c r="C296"/>
    </row>
    <row r="297" spans="2:3">
      <c r="B297"/>
      <c r="C297"/>
    </row>
    <row r="298" spans="2:3">
      <c r="B298"/>
      <c r="C298"/>
    </row>
    <row r="299" spans="2:3">
      <c r="B299"/>
      <c r="C299"/>
    </row>
    <row r="300" spans="2:3">
      <c r="B300"/>
      <c r="C300"/>
    </row>
    <row r="301" spans="2:3">
      <c r="B301"/>
      <c r="C301"/>
    </row>
    <row r="302" spans="2:3">
      <c r="B302"/>
      <c r="C302"/>
    </row>
    <row r="303" spans="2:3">
      <c r="B303"/>
      <c r="C303"/>
    </row>
    <row r="304" spans="2:3">
      <c r="B304"/>
      <c r="C304"/>
    </row>
    <row r="305" spans="2:3">
      <c r="B305"/>
      <c r="C305"/>
    </row>
    <row r="306" spans="2:3">
      <c r="B306"/>
      <c r="C306"/>
    </row>
    <row r="307" spans="2:3">
      <c r="B307"/>
      <c r="C307"/>
    </row>
    <row r="308" spans="2:3">
      <c r="B308"/>
      <c r="C308"/>
    </row>
    <row r="309" spans="2:3">
      <c r="B309"/>
      <c r="C309"/>
    </row>
    <row r="310" spans="2:3">
      <c r="B310"/>
      <c r="C310"/>
    </row>
    <row r="311" spans="2:3">
      <c r="B311"/>
      <c r="C311"/>
    </row>
    <row r="312" spans="2:3">
      <c r="B312"/>
      <c r="C312"/>
    </row>
    <row r="313" spans="2:3">
      <c r="B313"/>
      <c r="C313"/>
    </row>
    <row r="314" spans="2:3">
      <c r="B314"/>
      <c r="C314"/>
    </row>
    <row r="315" spans="2:3">
      <c r="B315"/>
      <c r="C315"/>
    </row>
    <row r="316" spans="2:3">
      <c r="B316"/>
      <c r="C316"/>
    </row>
    <row r="317" spans="2:3">
      <c r="B317"/>
      <c r="C317"/>
    </row>
    <row r="318" spans="2:3">
      <c r="B318"/>
      <c r="C318"/>
    </row>
    <row r="319" spans="2:3">
      <c r="B319"/>
      <c r="C319"/>
    </row>
    <row r="320" spans="2:3">
      <c r="B320"/>
      <c r="C320"/>
    </row>
    <row r="321" spans="2:3">
      <c r="B321"/>
      <c r="C321"/>
    </row>
    <row r="322" spans="2:3">
      <c r="B322"/>
      <c r="C322"/>
    </row>
    <row r="323" spans="2:3">
      <c r="B323"/>
      <c r="C323"/>
    </row>
    <row r="324" spans="2:3">
      <c r="B324"/>
      <c r="C324"/>
    </row>
    <row r="325" spans="2:3">
      <c r="B325"/>
      <c r="C325"/>
    </row>
    <row r="326" spans="2:3">
      <c r="B326"/>
      <c r="C326"/>
    </row>
    <row r="327" spans="2:3">
      <c r="B327"/>
      <c r="C327"/>
    </row>
    <row r="328" spans="2:3">
      <c r="B328"/>
      <c r="C328"/>
    </row>
    <row r="329" spans="2:3">
      <c r="B329"/>
      <c r="C329"/>
    </row>
    <row r="330" spans="2:3">
      <c r="B330"/>
      <c r="C330"/>
    </row>
    <row r="331" spans="2:3">
      <c r="B331"/>
      <c r="C331"/>
    </row>
    <row r="332" spans="2:3">
      <c r="B332"/>
      <c r="C332"/>
    </row>
    <row r="333" spans="2:3">
      <c r="B333"/>
      <c r="C333"/>
    </row>
    <row r="334" spans="2:3">
      <c r="B334"/>
      <c r="C334"/>
    </row>
    <row r="335" spans="2:3">
      <c r="B335"/>
      <c r="C335"/>
    </row>
    <row r="336" spans="2:3">
      <c r="B336"/>
      <c r="C336"/>
    </row>
    <row r="337" spans="2:3">
      <c r="B337"/>
      <c r="C337"/>
    </row>
    <row r="338" spans="2:3">
      <c r="B338"/>
      <c r="C338"/>
    </row>
    <row r="339" spans="2:3">
      <c r="B339"/>
      <c r="C339"/>
    </row>
    <row r="340" spans="2:3">
      <c r="B340"/>
      <c r="C340"/>
    </row>
    <row r="341" spans="2:3">
      <c r="B341"/>
      <c r="C341"/>
    </row>
    <row r="342" spans="2:3">
      <c r="B342"/>
      <c r="C342"/>
    </row>
    <row r="343" spans="2:3">
      <c r="B343"/>
      <c r="C343"/>
    </row>
    <row r="344" spans="2:3">
      <c r="B344"/>
      <c r="C344"/>
    </row>
    <row r="345" spans="2:3">
      <c r="B345"/>
      <c r="C345"/>
    </row>
    <row r="346" spans="2:3">
      <c r="B346"/>
      <c r="C346"/>
    </row>
    <row r="347" spans="2:3">
      <c r="B347"/>
      <c r="C347"/>
    </row>
    <row r="348" spans="2:3">
      <c r="B348"/>
      <c r="C348"/>
    </row>
    <row r="349" spans="2:3">
      <c r="B349"/>
      <c r="C349"/>
    </row>
    <row r="350" spans="2:3">
      <c r="B350"/>
      <c r="C350"/>
    </row>
    <row r="351" spans="2:3">
      <c r="B351"/>
      <c r="C351"/>
    </row>
    <row r="352" spans="2:3">
      <c r="B352"/>
      <c r="C352"/>
    </row>
    <row r="353" spans="2:3">
      <c r="B353"/>
      <c r="C353"/>
    </row>
    <row r="354" spans="2:3">
      <c r="B354"/>
      <c r="C354"/>
    </row>
    <row r="355" spans="2:3">
      <c r="B355"/>
      <c r="C355"/>
    </row>
    <row r="356" spans="2:3">
      <c r="B356"/>
      <c r="C356"/>
    </row>
    <row r="357" spans="2:3">
      <c r="B357"/>
      <c r="C357"/>
    </row>
    <row r="358" spans="2:3">
      <c r="B358"/>
      <c r="C358"/>
    </row>
    <row r="359" spans="2:3">
      <c r="B359"/>
      <c r="C359"/>
    </row>
    <row r="360" spans="2:3">
      <c r="B360"/>
      <c r="C360"/>
    </row>
    <row r="361" spans="2:3">
      <c r="B361"/>
      <c r="C361"/>
    </row>
    <row r="362" spans="2:3">
      <c r="B362"/>
      <c r="C362"/>
    </row>
    <row r="363" spans="2:3">
      <c r="B363"/>
      <c r="C363"/>
    </row>
    <row r="364" spans="2:3">
      <c r="B364"/>
      <c r="C364"/>
    </row>
    <row r="365" spans="2:3">
      <c r="B365"/>
      <c r="C365"/>
    </row>
    <row r="366" spans="2:3">
      <c r="B366"/>
      <c r="C366"/>
    </row>
    <row r="367" spans="2:3">
      <c r="B367"/>
      <c r="C367"/>
    </row>
    <row r="368" spans="2:3">
      <c r="B368"/>
      <c r="C368"/>
    </row>
    <row r="369" spans="2:3">
      <c r="B369"/>
      <c r="C369"/>
    </row>
    <row r="370" spans="2:3">
      <c r="B370"/>
      <c r="C370"/>
    </row>
    <row r="371" spans="2:3">
      <c r="B371"/>
      <c r="C371"/>
    </row>
    <row r="372" spans="2:3">
      <c r="B372"/>
      <c r="C372"/>
    </row>
    <row r="373" spans="2:3">
      <c r="B373"/>
      <c r="C373"/>
    </row>
    <row r="374" spans="2:3">
      <c r="B374"/>
      <c r="C374"/>
    </row>
    <row r="375" spans="2:3">
      <c r="B375"/>
      <c r="C375"/>
    </row>
    <row r="376" spans="2:3">
      <c r="B376"/>
      <c r="C376"/>
    </row>
    <row r="377" spans="2:3">
      <c r="B377"/>
      <c r="C377"/>
    </row>
    <row r="378" spans="2:3">
      <c r="B378"/>
      <c r="C378"/>
    </row>
    <row r="379" spans="2:3">
      <c r="B379"/>
      <c r="C379"/>
    </row>
    <row r="380" spans="2:3">
      <c r="B380"/>
      <c r="C380"/>
    </row>
    <row r="381" spans="2:3">
      <c r="B381"/>
      <c r="C381"/>
    </row>
    <row r="382" spans="2:3">
      <c r="B382"/>
      <c r="C382"/>
    </row>
    <row r="383" spans="2:3">
      <c r="B383"/>
      <c r="C383"/>
    </row>
    <row r="384" spans="2:3">
      <c r="B384"/>
      <c r="C384"/>
    </row>
    <row r="385" spans="2:3">
      <c r="B385"/>
      <c r="C385"/>
    </row>
    <row r="386" spans="2:3">
      <c r="B386"/>
      <c r="C386"/>
    </row>
    <row r="387" spans="2:3">
      <c r="B387"/>
      <c r="C387"/>
    </row>
    <row r="388" spans="2:3">
      <c r="B388"/>
      <c r="C388"/>
    </row>
    <row r="389" spans="2:3">
      <c r="B389"/>
      <c r="C389"/>
    </row>
    <row r="390" spans="2:3">
      <c r="B390"/>
      <c r="C390"/>
    </row>
    <row r="391" spans="2:3">
      <c r="B391"/>
      <c r="C391"/>
    </row>
    <row r="392" spans="2:3">
      <c r="B392"/>
      <c r="C392"/>
    </row>
    <row r="393" spans="2:3">
      <c r="B393"/>
      <c r="C393"/>
    </row>
    <row r="394" spans="2:3">
      <c r="B394"/>
      <c r="C394"/>
    </row>
    <row r="395" spans="2:3">
      <c r="B395"/>
      <c r="C395"/>
    </row>
    <row r="396" spans="2:3">
      <c r="B396"/>
      <c r="C396"/>
    </row>
    <row r="397" spans="2:3">
      <c r="B397"/>
      <c r="C397"/>
    </row>
    <row r="398" spans="2:3">
      <c r="B398"/>
      <c r="C398"/>
    </row>
    <row r="399" spans="2:3">
      <c r="B399"/>
      <c r="C399"/>
    </row>
    <row r="400" spans="2:3">
      <c r="B400"/>
      <c r="C400"/>
    </row>
    <row r="401" spans="2:3">
      <c r="B401"/>
      <c r="C401"/>
    </row>
    <row r="402" spans="2:3">
      <c r="B402"/>
      <c r="C402"/>
    </row>
    <row r="403" spans="2:3">
      <c r="B403"/>
      <c r="C403"/>
    </row>
    <row r="404" spans="2:3">
      <c r="B404"/>
      <c r="C404"/>
    </row>
    <row r="405" spans="2:3">
      <c r="B405"/>
      <c r="C405"/>
    </row>
    <row r="406" spans="2:3">
      <c r="B406"/>
      <c r="C406"/>
    </row>
    <row r="407" spans="2:3">
      <c r="B407"/>
      <c r="C407"/>
    </row>
    <row r="408" spans="2:3">
      <c r="B408"/>
      <c r="C408"/>
    </row>
    <row r="409" spans="2:3">
      <c r="B409"/>
      <c r="C409"/>
    </row>
    <row r="410" spans="2:3">
      <c r="B410"/>
      <c r="C410"/>
    </row>
    <row r="411" spans="2:3">
      <c r="B411"/>
      <c r="C411"/>
    </row>
    <row r="412" spans="2:3">
      <c r="B412"/>
      <c r="C412"/>
    </row>
    <row r="413" spans="2:3">
      <c r="B413"/>
      <c r="C413"/>
    </row>
    <row r="414" spans="2:3">
      <c r="B414"/>
      <c r="C414"/>
    </row>
    <row r="415" spans="2:3">
      <c r="B415"/>
      <c r="C415"/>
    </row>
    <row r="416" spans="2:3">
      <c r="B416"/>
      <c r="C416"/>
    </row>
    <row r="417" spans="2:3">
      <c r="B417"/>
      <c r="C417"/>
    </row>
    <row r="418" spans="2:3">
      <c r="B418"/>
      <c r="C418"/>
    </row>
    <row r="419" spans="2:3">
      <c r="B419"/>
      <c r="C419"/>
    </row>
    <row r="420" spans="2:3">
      <c r="B420"/>
      <c r="C420"/>
    </row>
    <row r="421" spans="2:3">
      <c r="B421"/>
      <c r="C421"/>
    </row>
    <row r="422" spans="2:3">
      <c r="B422"/>
      <c r="C422"/>
    </row>
    <row r="423" spans="2:3">
      <c r="B423"/>
      <c r="C423"/>
    </row>
    <row r="424" spans="2:3">
      <c r="B424"/>
      <c r="C424"/>
    </row>
    <row r="425" spans="2:3">
      <c r="B425"/>
      <c r="C425"/>
    </row>
    <row r="426" spans="2:3">
      <c r="B426"/>
      <c r="C426"/>
    </row>
    <row r="427" spans="2:3">
      <c r="B427"/>
      <c r="C427"/>
    </row>
    <row r="428" spans="2:3">
      <c r="B428"/>
      <c r="C428"/>
    </row>
    <row r="429" spans="2:3">
      <c r="B429"/>
      <c r="C429"/>
    </row>
    <row r="430" spans="2:3">
      <c r="B430"/>
      <c r="C430"/>
    </row>
    <row r="431" spans="2:3">
      <c r="B431"/>
      <c r="C431"/>
    </row>
    <row r="432" spans="2:3">
      <c r="B432"/>
      <c r="C432"/>
    </row>
    <row r="433" spans="2:3">
      <c r="B433"/>
      <c r="C433"/>
    </row>
    <row r="434" spans="2:3">
      <c r="B434"/>
      <c r="C434"/>
    </row>
    <row r="435" spans="2:3">
      <c r="B435"/>
      <c r="C435"/>
    </row>
    <row r="436" spans="2:3">
      <c r="B436"/>
      <c r="C436"/>
    </row>
    <row r="437" spans="2:3">
      <c r="B437"/>
      <c r="C437"/>
    </row>
    <row r="438" spans="2:3">
      <c r="B438"/>
      <c r="C438"/>
    </row>
    <row r="439" spans="2:3">
      <c r="B439"/>
      <c r="C439"/>
    </row>
    <row r="440" spans="2:3">
      <c r="B440"/>
      <c r="C440"/>
    </row>
    <row r="441" spans="2:3">
      <c r="B441"/>
      <c r="C441"/>
    </row>
    <row r="442" spans="2:3">
      <c r="B442"/>
      <c r="C442"/>
    </row>
    <row r="443" spans="2:3">
      <c r="B443"/>
      <c r="C443"/>
    </row>
    <row r="444" spans="2:3">
      <c r="B444"/>
      <c r="C444"/>
    </row>
    <row r="445" spans="2:3">
      <c r="B445"/>
      <c r="C445"/>
    </row>
    <row r="446" spans="2:3">
      <c r="B446"/>
      <c r="C446"/>
    </row>
    <row r="447" spans="2:3">
      <c r="B447"/>
      <c r="C447"/>
    </row>
    <row r="448" spans="2:3">
      <c r="B448"/>
      <c r="C448"/>
    </row>
    <row r="449" spans="2:3">
      <c r="B449"/>
      <c r="C449"/>
    </row>
    <row r="450" spans="2:3">
      <c r="B450"/>
      <c r="C450"/>
    </row>
    <row r="451" spans="2:3">
      <c r="B451"/>
      <c r="C451"/>
    </row>
    <row r="452" spans="2:3">
      <c r="B452"/>
      <c r="C452"/>
    </row>
    <row r="453" spans="2:3">
      <c r="B453"/>
      <c r="C453"/>
    </row>
    <row r="454" spans="2:3">
      <c r="B454"/>
      <c r="C454"/>
    </row>
    <row r="455" spans="2:3">
      <c r="B455"/>
      <c r="C455"/>
    </row>
    <row r="456" spans="2:3">
      <c r="B456"/>
      <c r="C456"/>
    </row>
    <row r="457" spans="2:3">
      <c r="B457"/>
      <c r="C457"/>
    </row>
    <row r="458" spans="2:3">
      <c r="B458"/>
      <c r="C458"/>
    </row>
    <row r="459" spans="2:3">
      <c r="B459"/>
      <c r="C459"/>
    </row>
    <row r="460" spans="2:3">
      <c r="B460"/>
      <c r="C460"/>
    </row>
    <row r="461" spans="2:3">
      <c r="B461"/>
      <c r="C461"/>
    </row>
    <row r="462" spans="2:3">
      <c r="B462"/>
      <c r="C462"/>
    </row>
    <row r="463" spans="2:3">
      <c r="B463"/>
      <c r="C463"/>
    </row>
    <row r="464" spans="2:3">
      <c r="B464"/>
      <c r="C464"/>
    </row>
    <row r="465" spans="2:3">
      <c r="B465"/>
      <c r="C465"/>
    </row>
    <row r="466" spans="2:3">
      <c r="B466"/>
      <c r="C466"/>
    </row>
    <row r="467" spans="2:3">
      <c r="B467"/>
      <c r="C467"/>
    </row>
    <row r="468" spans="2:3">
      <c r="B468"/>
      <c r="C468"/>
    </row>
    <row r="469" spans="2:3">
      <c r="B469"/>
      <c r="C469"/>
    </row>
    <row r="470" spans="2:3">
      <c r="B470"/>
      <c r="C470"/>
    </row>
    <row r="471" spans="2:3">
      <c r="B471"/>
      <c r="C471"/>
    </row>
    <row r="472" spans="2:3">
      <c r="B472"/>
      <c r="C472"/>
    </row>
    <row r="473" spans="2:3">
      <c r="B473"/>
      <c r="C473"/>
    </row>
    <row r="474" spans="2:3">
      <c r="B474"/>
      <c r="C474"/>
    </row>
    <row r="475" spans="2:3">
      <c r="B475"/>
      <c r="C475"/>
    </row>
    <row r="476" spans="2:3">
      <c r="B476"/>
      <c r="C476"/>
    </row>
    <row r="477" spans="2:3">
      <c r="B477"/>
      <c r="C477"/>
    </row>
    <row r="478" spans="2:3">
      <c r="B478"/>
      <c r="C478"/>
    </row>
    <row r="479" spans="2:3">
      <c r="B479"/>
      <c r="C479"/>
    </row>
    <row r="480" spans="2:3">
      <c r="B480"/>
      <c r="C480"/>
    </row>
    <row r="481" spans="2:3">
      <c r="B481"/>
      <c r="C481"/>
    </row>
    <row r="482" spans="2:3">
      <c r="B482"/>
      <c r="C482"/>
    </row>
    <row r="483" spans="2:3">
      <c r="B483"/>
      <c r="C483"/>
    </row>
    <row r="484" spans="2:3">
      <c r="B484"/>
      <c r="C484"/>
    </row>
    <row r="485" spans="2:3">
      <c r="B485"/>
      <c r="C485"/>
    </row>
    <row r="486" spans="2:3">
      <c r="B486"/>
      <c r="C486"/>
    </row>
    <row r="487" spans="2:3">
      <c r="B487"/>
      <c r="C487"/>
    </row>
    <row r="488" spans="2:3">
      <c r="B488"/>
      <c r="C488"/>
    </row>
    <row r="489" spans="2:3">
      <c r="B489"/>
      <c r="C489"/>
    </row>
    <row r="490" spans="2:3">
      <c r="B490"/>
      <c r="C490"/>
    </row>
    <row r="491" spans="2:3">
      <c r="B491"/>
      <c r="C491"/>
    </row>
    <row r="492" spans="2:3">
      <c r="B492"/>
      <c r="C492"/>
    </row>
    <row r="493" spans="2:3">
      <c r="B493"/>
      <c r="C493"/>
    </row>
    <row r="494" spans="2:3">
      <c r="B494"/>
      <c r="C494"/>
    </row>
    <row r="495" spans="2:3">
      <c r="B495"/>
      <c r="C495"/>
    </row>
    <row r="496" spans="2:3">
      <c r="B496"/>
      <c r="C496"/>
    </row>
    <row r="497" spans="2:3">
      <c r="B497"/>
      <c r="C497"/>
    </row>
    <row r="498" spans="2:3">
      <c r="B498"/>
      <c r="C498"/>
    </row>
    <row r="499" spans="2:3">
      <c r="B499"/>
      <c r="C499"/>
    </row>
    <row r="500" spans="2:3">
      <c r="B500"/>
      <c r="C500"/>
    </row>
    <row r="501" spans="2:3">
      <c r="B501"/>
      <c r="C501"/>
    </row>
    <row r="502" spans="2:3">
      <c r="B502"/>
      <c r="C502"/>
    </row>
    <row r="503" spans="2:3">
      <c r="B503"/>
      <c r="C503"/>
    </row>
    <row r="504" spans="2:3">
      <c r="B504"/>
      <c r="C504"/>
    </row>
    <row r="505" spans="2:3">
      <c r="B505"/>
      <c r="C505"/>
    </row>
    <row r="506" spans="2:3">
      <c r="B506"/>
      <c r="C506"/>
    </row>
    <row r="507" spans="2:3">
      <c r="B507"/>
      <c r="C507"/>
    </row>
    <row r="508" spans="2:3">
      <c r="B508"/>
      <c r="C508"/>
    </row>
    <row r="509" spans="2:3">
      <c r="B509"/>
      <c r="C509"/>
    </row>
    <row r="510" spans="2:3">
      <c r="B510"/>
      <c r="C510"/>
    </row>
    <row r="511" spans="2:3">
      <c r="B511"/>
      <c r="C511"/>
    </row>
    <row r="512" spans="2:3">
      <c r="B512"/>
      <c r="C512"/>
    </row>
    <row r="513" spans="2:3">
      <c r="B513"/>
      <c r="C513"/>
    </row>
    <row r="514" spans="2:3">
      <c r="B514"/>
      <c r="C514"/>
    </row>
    <row r="515" spans="2:3">
      <c r="B515"/>
      <c r="C515"/>
    </row>
    <row r="516" spans="2:3">
      <c r="B516"/>
      <c r="C516"/>
    </row>
    <row r="517" spans="2:3">
      <c r="B517"/>
      <c r="C517"/>
    </row>
    <row r="518" spans="2:3">
      <c r="B518"/>
      <c r="C518"/>
    </row>
    <row r="519" spans="2:3">
      <c r="B519"/>
      <c r="C519"/>
    </row>
    <row r="520" spans="2:3">
      <c r="B520"/>
      <c r="C520"/>
    </row>
    <row r="521" spans="2:3">
      <c r="B521"/>
      <c r="C521"/>
    </row>
    <row r="522" spans="2:3">
      <c r="B522"/>
      <c r="C522"/>
    </row>
    <row r="523" spans="2:3">
      <c r="B523"/>
      <c r="C523"/>
    </row>
    <row r="524" spans="2:3">
      <c r="B524"/>
      <c r="C524"/>
    </row>
    <row r="525" spans="2:3">
      <c r="B525"/>
      <c r="C525"/>
    </row>
    <row r="526" spans="2:3">
      <c r="B526"/>
      <c r="C526"/>
    </row>
    <row r="527" spans="2:3">
      <c r="B527"/>
      <c r="C527"/>
    </row>
    <row r="528" spans="2:3">
      <c r="B528"/>
      <c r="C528"/>
    </row>
    <row r="529" spans="2:3">
      <c r="B529"/>
      <c r="C529"/>
    </row>
    <row r="530" spans="2:3">
      <c r="B530"/>
      <c r="C530"/>
    </row>
    <row r="531" spans="2:3">
      <c r="B531"/>
      <c r="C531"/>
    </row>
    <row r="532" spans="2:3">
      <c r="B532"/>
      <c r="C532"/>
    </row>
    <row r="533" spans="2:3">
      <c r="B533"/>
      <c r="C533"/>
    </row>
    <row r="534" spans="2:3">
      <c r="B534"/>
      <c r="C534"/>
    </row>
    <row r="535" spans="2:3">
      <c r="B535"/>
      <c r="C535"/>
    </row>
    <row r="536" spans="2:3">
      <c r="B536"/>
      <c r="C536"/>
    </row>
    <row r="537" spans="2:3">
      <c r="B537"/>
      <c r="C537"/>
    </row>
    <row r="538" spans="2:3">
      <c r="B538"/>
      <c r="C538"/>
    </row>
    <row r="539" spans="2:3">
      <c r="B539"/>
      <c r="C539"/>
    </row>
    <row r="540" spans="2:3">
      <c r="B540"/>
      <c r="C540"/>
    </row>
    <row r="541" spans="2:3">
      <c r="B541"/>
      <c r="C541"/>
    </row>
    <row r="542" spans="2:3">
      <c r="B542"/>
      <c r="C542"/>
    </row>
    <row r="543" spans="2:3">
      <c r="B543"/>
      <c r="C543"/>
    </row>
    <row r="544" spans="2:3">
      <c r="B544"/>
      <c r="C544"/>
    </row>
    <row r="545" spans="2:3">
      <c r="B545"/>
      <c r="C545"/>
    </row>
    <row r="546" spans="2:3">
      <c r="B546"/>
      <c r="C546"/>
    </row>
    <row r="547" spans="2:3">
      <c r="B547"/>
      <c r="C547"/>
    </row>
    <row r="548" spans="2:3">
      <c r="B548"/>
      <c r="C548"/>
    </row>
    <row r="549" spans="2:3">
      <c r="B549"/>
      <c r="C549"/>
    </row>
    <row r="550" spans="2:3">
      <c r="B550"/>
      <c r="C550"/>
    </row>
    <row r="551" spans="2:3">
      <c r="B551"/>
      <c r="C551"/>
    </row>
    <row r="552" spans="2:3">
      <c r="B552"/>
      <c r="C552"/>
    </row>
    <row r="553" spans="2:3">
      <c r="B553"/>
      <c r="C553"/>
    </row>
    <row r="554" spans="2:3">
      <c r="B554"/>
      <c r="C554"/>
    </row>
    <row r="555" spans="2:3">
      <c r="B555"/>
      <c r="C555"/>
    </row>
    <row r="556" spans="2:3">
      <c r="B556"/>
      <c r="C556"/>
    </row>
    <row r="557" spans="2:3">
      <c r="B557"/>
      <c r="C557"/>
    </row>
    <row r="558" spans="2:3">
      <c r="B558"/>
      <c r="C558"/>
    </row>
    <row r="559" spans="2:3">
      <c r="B559"/>
      <c r="C559"/>
    </row>
    <row r="560" spans="2:3">
      <c r="B560"/>
      <c r="C560"/>
    </row>
    <row r="561" spans="2:3">
      <c r="B561"/>
      <c r="C561"/>
    </row>
    <row r="562" spans="2:3">
      <c r="B562"/>
      <c r="C562"/>
    </row>
    <row r="563" spans="2:3">
      <c r="B563"/>
      <c r="C563"/>
    </row>
    <row r="564" spans="2:3">
      <c r="B564"/>
      <c r="C564"/>
    </row>
    <row r="565" spans="2:3">
      <c r="B565"/>
      <c r="C565"/>
    </row>
    <row r="566" spans="2:3">
      <c r="B566"/>
      <c r="C566"/>
    </row>
    <row r="567" spans="2:3">
      <c r="B567"/>
      <c r="C567"/>
    </row>
    <row r="568" spans="2:3">
      <c r="B568"/>
      <c r="C568"/>
    </row>
    <row r="569" spans="2:3">
      <c r="B569"/>
      <c r="C569"/>
    </row>
    <row r="570" spans="2:3">
      <c r="B570"/>
      <c r="C570"/>
    </row>
    <row r="571" spans="2:3">
      <c r="B571"/>
      <c r="C571"/>
    </row>
    <row r="572" spans="2:3">
      <c r="B572"/>
      <c r="C572"/>
    </row>
    <row r="573" spans="2:3">
      <c r="B573"/>
      <c r="C573"/>
    </row>
    <row r="574" spans="2:3">
      <c r="B574"/>
      <c r="C574"/>
    </row>
    <row r="575" spans="2:3">
      <c r="B575"/>
      <c r="C575"/>
    </row>
    <row r="576" spans="2:3">
      <c r="B576"/>
      <c r="C576"/>
    </row>
    <row r="577" spans="2:3">
      <c r="B577"/>
      <c r="C577"/>
    </row>
    <row r="578" spans="2:3">
      <c r="B578"/>
      <c r="C578"/>
    </row>
    <row r="579" spans="2:3">
      <c r="B579"/>
      <c r="C579"/>
    </row>
    <row r="580" spans="2:3">
      <c r="B580"/>
      <c r="C580"/>
    </row>
    <row r="581" spans="2:3">
      <c r="B581"/>
      <c r="C581"/>
    </row>
    <row r="582" spans="2:3">
      <c r="B582"/>
      <c r="C582"/>
    </row>
    <row r="583" spans="2:3">
      <c r="B583"/>
      <c r="C583"/>
    </row>
    <row r="584" spans="2:3">
      <c r="B584"/>
      <c r="C584"/>
    </row>
    <row r="585" spans="2:3">
      <c r="B585"/>
      <c r="C585"/>
    </row>
    <row r="586" spans="2:3">
      <c r="B586"/>
      <c r="C586"/>
    </row>
    <row r="587" spans="2:3">
      <c r="B587"/>
      <c r="C587"/>
    </row>
    <row r="588" spans="2:3">
      <c r="B588"/>
      <c r="C588"/>
    </row>
    <row r="589" spans="2:3">
      <c r="B589"/>
      <c r="C589"/>
    </row>
    <row r="590" spans="2:3">
      <c r="B590"/>
      <c r="C590"/>
    </row>
    <row r="591" spans="2:3">
      <c r="B591"/>
      <c r="C591"/>
    </row>
    <row r="592" spans="2:3">
      <c r="B592"/>
      <c r="C592"/>
    </row>
    <row r="593" spans="2:3">
      <c r="B593"/>
      <c r="C593"/>
    </row>
    <row r="594" spans="2:3">
      <c r="B594"/>
      <c r="C594"/>
    </row>
    <row r="595" spans="2:3">
      <c r="B595"/>
      <c r="C595"/>
    </row>
    <row r="596" spans="2:3">
      <c r="B596"/>
      <c r="C596"/>
    </row>
    <row r="597" spans="2:3">
      <c r="B597"/>
      <c r="C597"/>
    </row>
    <row r="598" spans="2:3">
      <c r="B598"/>
      <c r="C598"/>
    </row>
    <row r="599" spans="2:3">
      <c r="B599"/>
      <c r="C599"/>
    </row>
    <row r="600" spans="2:3">
      <c r="B600"/>
      <c r="C600"/>
    </row>
    <row r="601" spans="2:3">
      <c r="B601"/>
      <c r="C601"/>
    </row>
    <row r="602" spans="2:3">
      <c r="B602"/>
      <c r="C602"/>
    </row>
    <row r="603" spans="2:3">
      <c r="B603"/>
      <c r="C603"/>
    </row>
    <row r="604" spans="2:3">
      <c r="B604"/>
      <c r="C604"/>
    </row>
    <row r="605" spans="2:3">
      <c r="B605"/>
      <c r="C605"/>
    </row>
    <row r="606" spans="2:3">
      <c r="B606"/>
      <c r="C606"/>
    </row>
    <row r="607" spans="2:3">
      <c r="B607"/>
      <c r="C607"/>
    </row>
    <row r="608" spans="2:3">
      <c r="B608"/>
      <c r="C608"/>
    </row>
    <row r="609" spans="2:3">
      <c r="B609"/>
      <c r="C609"/>
    </row>
    <row r="610" spans="2:3">
      <c r="B610"/>
      <c r="C610"/>
    </row>
    <row r="611" spans="2:3">
      <c r="B611"/>
      <c r="C611"/>
    </row>
    <row r="612" spans="2:3">
      <c r="B612"/>
      <c r="C612"/>
    </row>
    <row r="613" spans="2:3">
      <c r="B613"/>
      <c r="C613"/>
    </row>
    <row r="614" spans="2:3">
      <c r="B614"/>
      <c r="C614"/>
    </row>
    <row r="615" spans="2:3">
      <c r="B615"/>
      <c r="C615"/>
    </row>
    <row r="616" spans="2:3">
      <c r="B616"/>
      <c r="C616"/>
    </row>
    <row r="617" spans="2:3">
      <c r="B617"/>
      <c r="C617"/>
    </row>
    <row r="618" spans="2:3">
      <c r="B618"/>
      <c r="C618"/>
    </row>
    <row r="619" spans="2:3">
      <c r="B619"/>
      <c r="C619"/>
    </row>
    <row r="620" spans="2:3">
      <c r="B620"/>
      <c r="C620"/>
    </row>
    <row r="621" spans="2:3">
      <c r="B621"/>
      <c r="C621"/>
    </row>
    <row r="622" spans="2:3">
      <c r="B622"/>
      <c r="C622"/>
    </row>
    <row r="623" spans="2:3">
      <c r="B623"/>
      <c r="C623"/>
    </row>
    <row r="624" spans="2:3">
      <c r="B624"/>
      <c r="C624"/>
    </row>
    <row r="625" spans="2:3">
      <c r="B625"/>
      <c r="C625"/>
    </row>
    <row r="626" spans="2:3">
      <c r="B626"/>
      <c r="C626"/>
    </row>
    <row r="627" spans="2:3">
      <c r="B627"/>
      <c r="C627"/>
    </row>
    <row r="628" spans="2:3">
      <c r="B628"/>
      <c r="C628"/>
    </row>
    <row r="629" spans="2:3">
      <c r="B629"/>
      <c r="C629"/>
    </row>
    <row r="630" spans="2:3">
      <c r="B630"/>
      <c r="C630"/>
    </row>
    <row r="631" spans="2:3">
      <c r="B631"/>
      <c r="C631"/>
    </row>
    <row r="632" spans="2:3">
      <c r="B632"/>
      <c r="C632"/>
    </row>
    <row r="633" spans="2:3">
      <c r="B633"/>
      <c r="C633"/>
    </row>
    <row r="634" spans="2:3">
      <c r="B634"/>
      <c r="C634"/>
    </row>
    <row r="635" spans="2:3">
      <c r="B635"/>
      <c r="C635"/>
    </row>
    <row r="636" spans="2:3">
      <c r="B636"/>
      <c r="C636"/>
    </row>
    <row r="637" spans="2:3">
      <c r="B637"/>
      <c r="C637"/>
    </row>
    <row r="638" spans="2:3">
      <c r="B638"/>
      <c r="C638"/>
    </row>
    <row r="639" spans="2:3">
      <c r="B639"/>
      <c r="C639"/>
    </row>
    <row r="640" spans="2:3">
      <c r="B640"/>
      <c r="C640"/>
    </row>
    <row r="641" spans="2:3">
      <c r="B641"/>
      <c r="C641"/>
    </row>
    <row r="642" spans="2:3">
      <c r="B642"/>
      <c r="C642"/>
    </row>
    <row r="643" spans="2:3">
      <c r="B643"/>
      <c r="C643"/>
    </row>
    <row r="644" spans="2:3">
      <c r="B644"/>
      <c r="C644"/>
    </row>
    <row r="645" spans="2:3">
      <c r="B645"/>
      <c r="C645"/>
    </row>
    <row r="646" spans="2:3">
      <c r="B646"/>
      <c r="C646"/>
    </row>
    <row r="647" spans="2:3">
      <c r="B647"/>
      <c r="C647"/>
    </row>
    <row r="648" spans="2:3">
      <c r="B648"/>
      <c r="C648"/>
    </row>
    <row r="649" spans="2:3">
      <c r="B649"/>
      <c r="C649"/>
    </row>
    <row r="650" spans="2:3">
      <c r="B650"/>
      <c r="C650"/>
    </row>
    <row r="651" spans="2:3">
      <c r="B651"/>
      <c r="C651"/>
    </row>
    <row r="652" spans="2:3">
      <c r="B652"/>
      <c r="C652"/>
    </row>
    <row r="653" spans="2:3">
      <c r="B653"/>
      <c r="C653"/>
    </row>
    <row r="654" spans="2:3">
      <c r="B654"/>
      <c r="C654"/>
    </row>
    <row r="655" spans="2:3">
      <c r="B655"/>
      <c r="C655"/>
    </row>
    <row r="656" spans="2:3">
      <c r="B656"/>
      <c r="C656"/>
    </row>
    <row r="657" spans="2:3">
      <c r="B657"/>
      <c r="C657"/>
    </row>
    <row r="658" spans="2:3">
      <c r="B658"/>
      <c r="C658"/>
    </row>
    <row r="659" spans="2:3">
      <c r="B659"/>
      <c r="C659"/>
    </row>
    <row r="660" spans="2:3">
      <c r="B660"/>
      <c r="C660"/>
    </row>
    <row r="661" spans="2:3">
      <c r="B661"/>
      <c r="C661"/>
    </row>
    <row r="662" spans="2:3">
      <c r="B662"/>
      <c r="C662"/>
    </row>
    <row r="663" spans="2:3">
      <c r="B663"/>
      <c r="C663"/>
    </row>
    <row r="664" spans="2:3">
      <c r="B664"/>
      <c r="C664"/>
    </row>
    <row r="665" spans="2:3">
      <c r="B665"/>
      <c r="C665"/>
    </row>
    <row r="666" spans="2:3">
      <c r="B666"/>
      <c r="C666"/>
    </row>
    <row r="667" spans="2:3">
      <c r="B667"/>
      <c r="C667"/>
    </row>
    <row r="668" spans="2:3">
      <c r="B668"/>
      <c r="C668"/>
    </row>
    <row r="669" spans="2:3">
      <c r="B669"/>
      <c r="C669"/>
    </row>
    <row r="670" spans="2:3">
      <c r="B670"/>
      <c r="C670"/>
    </row>
    <row r="671" spans="2:3">
      <c r="B671"/>
      <c r="C671"/>
    </row>
    <row r="672" spans="2:3">
      <c r="B672"/>
      <c r="C672"/>
    </row>
    <row r="673" spans="2:3">
      <c r="B673"/>
      <c r="C673"/>
    </row>
    <row r="674" spans="2:3">
      <c r="B674"/>
      <c r="C674"/>
    </row>
    <row r="675" spans="2:3">
      <c r="B675"/>
      <c r="C675"/>
    </row>
    <row r="676" spans="2:3">
      <c r="B676"/>
      <c r="C676"/>
    </row>
    <row r="677" spans="2:3">
      <c r="B677"/>
      <c r="C677"/>
    </row>
    <row r="678" spans="2:3">
      <c r="B678"/>
      <c r="C678"/>
    </row>
    <row r="679" spans="2:3">
      <c r="B679"/>
      <c r="C679"/>
    </row>
    <row r="680" spans="2:3">
      <c r="B680"/>
      <c r="C680"/>
    </row>
    <row r="681" spans="2:3">
      <c r="B681"/>
      <c r="C681"/>
    </row>
    <row r="682" spans="2:3">
      <c r="B682"/>
      <c r="C682"/>
    </row>
    <row r="683" spans="2:3">
      <c r="B683"/>
      <c r="C683"/>
    </row>
    <row r="684" spans="2:3">
      <c r="B684"/>
      <c r="C684"/>
    </row>
    <row r="685" spans="2:3">
      <c r="B685"/>
      <c r="C685"/>
    </row>
    <row r="686" spans="2:3">
      <c r="B686"/>
      <c r="C686"/>
    </row>
    <row r="687" spans="2:3">
      <c r="B687"/>
      <c r="C687"/>
    </row>
    <row r="688" spans="2:3">
      <c r="B688"/>
      <c r="C688"/>
    </row>
    <row r="689" spans="2:3">
      <c r="B689"/>
      <c r="C689"/>
    </row>
    <row r="690" spans="2:3">
      <c r="B690"/>
      <c r="C690"/>
    </row>
    <row r="691" spans="2:3">
      <c r="B691"/>
      <c r="C691"/>
    </row>
    <row r="692" spans="2:3">
      <c r="B692"/>
      <c r="C692"/>
    </row>
    <row r="693" spans="2:3">
      <c r="B693"/>
      <c r="C693"/>
    </row>
    <row r="694" spans="2:3">
      <c r="B694"/>
      <c r="C694"/>
    </row>
    <row r="695" spans="2:3">
      <c r="B695"/>
      <c r="C695"/>
    </row>
    <row r="696" spans="2:3">
      <c r="B696"/>
      <c r="C696"/>
    </row>
    <row r="697" spans="2:3">
      <c r="B697"/>
      <c r="C697"/>
    </row>
    <row r="698" spans="2:3">
      <c r="B698"/>
      <c r="C698"/>
    </row>
    <row r="699" spans="2:3">
      <c r="B699"/>
      <c r="C699"/>
    </row>
    <row r="700" spans="2:3">
      <c r="B700"/>
      <c r="C700"/>
    </row>
    <row r="701" spans="2:3">
      <c r="B701"/>
      <c r="C701"/>
    </row>
    <row r="702" spans="2:3">
      <c r="B702"/>
      <c r="C702"/>
    </row>
    <row r="703" spans="2:3">
      <c r="B703"/>
      <c r="C703"/>
    </row>
    <row r="704" spans="2:3">
      <c r="B704"/>
      <c r="C704"/>
    </row>
    <row r="705" spans="2:3">
      <c r="B705"/>
      <c r="C705"/>
    </row>
    <row r="706" spans="2:3">
      <c r="B706"/>
      <c r="C706"/>
    </row>
    <row r="707" spans="2:3">
      <c r="B707"/>
      <c r="C707"/>
    </row>
    <row r="708" spans="2:3">
      <c r="B708"/>
      <c r="C708"/>
    </row>
    <row r="709" spans="2:3">
      <c r="B709"/>
      <c r="C709"/>
    </row>
    <row r="710" spans="2:3">
      <c r="B710"/>
      <c r="C710"/>
    </row>
    <row r="711" spans="2:3">
      <c r="B711"/>
      <c r="C711"/>
    </row>
    <row r="712" spans="2:3">
      <c r="B712"/>
      <c r="C712"/>
    </row>
    <row r="713" spans="2:3">
      <c r="B713"/>
      <c r="C713"/>
    </row>
    <row r="714" spans="2:3">
      <c r="B714"/>
      <c r="C714"/>
    </row>
    <row r="715" spans="2:3">
      <c r="B715"/>
      <c r="C715"/>
    </row>
    <row r="716" spans="2:3">
      <c r="B716"/>
      <c r="C716"/>
    </row>
    <row r="717" spans="2:3">
      <c r="B717"/>
      <c r="C717"/>
    </row>
    <row r="718" spans="2:3">
      <c r="B718"/>
      <c r="C718"/>
    </row>
    <row r="719" spans="2:3">
      <c r="B719"/>
      <c r="C719"/>
    </row>
    <row r="720" spans="2:3">
      <c r="B720"/>
      <c r="C720"/>
    </row>
    <row r="721" spans="2:3">
      <c r="B721"/>
      <c r="C721"/>
    </row>
    <row r="722" spans="2:3">
      <c r="B722"/>
      <c r="C722"/>
    </row>
    <row r="723" spans="2:3">
      <c r="B723"/>
      <c r="C723"/>
    </row>
    <row r="724" spans="2:3">
      <c r="B724"/>
      <c r="C724"/>
    </row>
    <row r="725" spans="2:3">
      <c r="B725"/>
      <c r="C725"/>
    </row>
    <row r="726" spans="2:3">
      <c r="B726"/>
      <c r="C726"/>
    </row>
    <row r="727" spans="2:3">
      <c r="B727"/>
      <c r="C727"/>
    </row>
    <row r="728" spans="2:3">
      <c r="B728"/>
      <c r="C728"/>
    </row>
    <row r="729" spans="2:3">
      <c r="B729"/>
      <c r="C729"/>
    </row>
    <row r="730" spans="2:3">
      <c r="B730"/>
      <c r="C730"/>
    </row>
    <row r="731" spans="2:3">
      <c r="B731"/>
      <c r="C731"/>
    </row>
    <row r="732" spans="2:3">
      <c r="B732"/>
      <c r="C732"/>
    </row>
    <row r="733" spans="2:3">
      <c r="B733"/>
      <c r="C733"/>
    </row>
    <row r="734" spans="2:3">
      <c r="B734"/>
      <c r="C734"/>
    </row>
    <row r="735" spans="2:3">
      <c r="B735"/>
      <c r="C735"/>
    </row>
    <row r="736" spans="2:3">
      <c r="B736"/>
      <c r="C736"/>
    </row>
    <row r="737" spans="2:3">
      <c r="B737"/>
      <c r="C737"/>
    </row>
    <row r="738" spans="2:3">
      <c r="B738"/>
      <c r="C738"/>
    </row>
    <row r="739" spans="2:3">
      <c r="B739"/>
      <c r="C739"/>
    </row>
    <row r="740" spans="2:3">
      <c r="B740"/>
      <c r="C740"/>
    </row>
    <row r="741" spans="2:3">
      <c r="B741"/>
      <c r="C741"/>
    </row>
    <row r="742" spans="2:3">
      <c r="B742"/>
      <c r="C742"/>
    </row>
    <row r="743" spans="2:3">
      <c r="B743"/>
      <c r="C743"/>
    </row>
    <row r="744" spans="2:3">
      <c r="B744"/>
      <c r="C744"/>
    </row>
    <row r="745" spans="2:3">
      <c r="B745"/>
      <c r="C745"/>
    </row>
    <row r="746" spans="2:3">
      <c r="B746"/>
      <c r="C746"/>
    </row>
    <row r="747" spans="2:3">
      <c r="B747"/>
      <c r="C747"/>
    </row>
    <row r="748" spans="2:3">
      <c r="B748"/>
      <c r="C748"/>
    </row>
    <row r="749" spans="2:3">
      <c r="B749"/>
      <c r="C749"/>
    </row>
    <row r="750" spans="2:3">
      <c r="B750"/>
      <c r="C750"/>
    </row>
    <row r="751" spans="2:3">
      <c r="B751"/>
      <c r="C751"/>
    </row>
    <row r="752" spans="2:3">
      <c r="B752"/>
      <c r="C752"/>
    </row>
    <row r="753" spans="2:3">
      <c r="B753"/>
      <c r="C753"/>
    </row>
    <row r="754" spans="2:3">
      <c r="B754"/>
      <c r="C754"/>
    </row>
    <row r="755" spans="2:3">
      <c r="B755"/>
      <c r="C755"/>
    </row>
    <row r="756" spans="2:3">
      <c r="B756"/>
      <c r="C756"/>
    </row>
    <row r="757" spans="2:3">
      <c r="B757"/>
      <c r="C757"/>
    </row>
    <row r="758" spans="2:3">
      <c r="B758"/>
      <c r="C758"/>
    </row>
    <row r="759" spans="2:3">
      <c r="B759"/>
      <c r="C759"/>
    </row>
    <row r="760" spans="2:3">
      <c r="B760"/>
      <c r="C760"/>
    </row>
    <row r="761" spans="2:3">
      <c r="B761"/>
      <c r="C761"/>
    </row>
    <row r="762" spans="2:3">
      <c r="B762"/>
      <c r="C762"/>
    </row>
    <row r="763" spans="2:3">
      <c r="B763"/>
      <c r="C763"/>
    </row>
    <row r="764" spans="2:3">
      <c r="B764"/>
      <c r="C764"/>
    </row>
    <row r="765" spans="2:3">
      <c r="B765"/>
      <c r="C765"/>
    </row>
    <row r="766" spans="2:3">
      <c r="B766"/>
      <c r="C766"/>
    </row>
    <row r="767" spans="2:3">
      <c r="B767"/>
      <c r="C767"/>
    </row>
    <row r="768" spans="2:3">
      <c r="B768"/>
      <c r="C768"/>
    </row>
    <row r="769" spans="2:3">
      <c r="B769"/>
      <c r="C769"/>
    </row>
    <row r="770" spans="2:3">
      <c r="B770"/>
      <c r="C770"/>
    </row>
    <row r="771" spans="2:3">
      <c r="B771"/>
      <c r="C771"/>
    </row>
    <row r="772" spans="2:3">
      <c r="B772"/>
      <c r="C772"/>
    </row>
    <row r="773" spans="2:3">
      <c r="B773"/>
      <c r="C773"/>
    </row>
    <row r="774" spans="2:3">
      <c r="B774"/>
      <c r="C774"/>
    </row>
    <row r="775" spans="2:3">
      <c r="B775"/>
      <c r="C775"/>
    </row>
    <row r="776" spans="2:3">
      <c r="B776"/>
      <c r="C776"/>
    </row>
    <row r="777" spans="2:3">
      <c r="B777"/>
      <c r="C777"/>
    </row>
    <row r="778" spans="2:3">
      <c r="B778"/>
      <c r="C778"/>
    </row>
    <row r="779" spans="2:3">
      <c r="B779"/>
      <c r="C779"/>
    </row>
    <row r="780" spans="2:3">
      <c r="B780"/>
      <c r="C780"/>
    </row>
    <row r="781" spans="2:3">
      <c r="B781"/>
      <c r="C781"/>
    </row>
    <row r="782" spans="2:3">
      <c r="B782"/>
      <c r="C782"/>
    </row>
    <row r="783" spans="2:3">
      <c r="B783"/>
      <c r="C783"/>
    </row>
    <row r="784" spans="2:3">
      <c r="B784"/>
      <c r="C784"/>
    </row>
    <row r="785" spans="2:3">
      <c r="B785"/>
      <c r="C785"/>
    </row>
    <row r="786" spans="2:3">
      <c r="B786"/>
      <c r="C786"/>
    </row>
    <row r="787" spans="2:3">
      <c r="B787"/>
      <c r="C787"/>
    </row>
    <row r="788" spans="2:3">
      <c r="B788"/>
      <c r="C788"/>
    </row>
    <row r="789" spans="2:3">
      <c r="B789"/>
      <c r="C789"/>
    </row>
    <row r="790" spans="2:3">
      <c r="B790"/>
      <c r="C790"/>
    </row>
    <row r="791" spans="2:3">
      <c r="B791"/>
      <c r="C791"/>
    </row>
    <row r="792" spans="2:3">
      <c r="B792"/>
      <c r="C792"/>
    </row>
    <row r="793" spans="2:3">
      <c r="B793"/>
      <c r="C793"/>
    </row>
    <row r="794" spans="2:3">
      <c r="B794"/>
      <c r="C794"/>
    </row>
    <row r="795" spans="2:3">
      <c r="B795"/>
      <c r="C795"/>
    </row>
    <row r="796" spans="2:3">
      <c r="B796"/>
      <c r="C796"/>
    </row>
    <row r="797" spans="2:3">
      <c r="B797"/>
      <c r="C797"/>
    </row>
    <row r="798" spans="2:3">
      <c r="B798"/>
      <c r="C798"/>
    </row>
    <row r="799" spans="2:3">
      <c r="B799"/>
      <c r="C799"/>
    </row>
    <row r="800" spans="2:3">
      <c r="B800"/>
      <c r="C800"/>
    </row>
    <row r="801" spans="2:3">
      <c r="B801"/>
      <c r="C801"/>
    </row>
    <row r="802" spans="2:3">
      <c r="B802"/>
      <c r="C802"/>
    </row>
    <row r="803" spans="2:3">
      <c r="B803"/>
      <c r="C803"/>
    </row>
    <row r="804" spans="2:3">
      <c r="B804"/>
      <c r="C804"/>
    </row>
    <row r="805" spans="2:3">
      <c r="B805"/>
      <c r="C805"/>
    </row>
    <row r="806" spans="2:3">
      <c r="B806"/>
      <c r="C806"/>
    </row>
    <row r="807" spans="2:3">
      <c r="B807"/>
      <c r="C807"/>
    </row>
    <row r="808" spans="2:3">
      <c r="B808"/>
      <c r="C808"/>
    </row>
    <row r="809" spans="2:3">
      <c r="B809"/>
      <c r="C809"/>
    </row>
    <row r="810" spans="2:3">
      <c r="B810"/>
      <c r="C810"/>
    </row>
    <row r="811" spans="2:3">
      <c r="B811"/>
      <c r="C811"/>
    </row>
    <row r="812" spans="2:3">
      <c r="B812"/>
      <c r="C812"/>
    </row>
    <row r="813" spans="2:3">
      <c r="B813"/>
      <c r="C813"/>
    </row>
    <row r="814" spans="2:3">
      <c r="B814"/>
      <c r="C814"/>
    </row>
    <row r="815" spans="2:3">
      <c r="B815"/>
      <c r="C815"/>
    </row>
    <row r="816" spans="2:3">
      <c r="B816"/>
      <c r="C816"/>
    </row>
    <row r="817" spans="2:3">
      <c r="B817"/>
      <c r="C817"/>
    </row>
    <row r="818" spans="2:3">
      <c r="B818"/>
      <c r="C818"/>
    </row>
    <row r="819" spans="2:3">
      <c r="B819"/>
      <c r="C819"/>
    </row>
    <row r="820" spans="2:3">
      <c r="B820"/>
      <c r="C820"/>
    </row>
    <row r="821" spans="2:3">
      <c r="B821"/>
      <c r="C821"/>
    </row>
    <row r="822" spans="2:3">
      <c r="B822"/>
      <c r="C822"/>
    </row>
    <row r="823" spans="2:3">
      <c r="B823"/>
      <c r="C823"/>
    </row>
    <row r="824" spans="2:3">
      <c r="B824"/>
      <c r="C824"/>
    </row>
    <row r="825" spans="2:3">
      <c r="B825"/>
      <c r="C825"/>
    </row>
    <row r="826" spans="2:3">
      <c r="B826"/>
      <c r="C826"/>
    </row>
    <row r="827" spans="2:3">
      <c r="B827"/>
      <c r="C827"/>
    </row>
    <row r="828" spans="2:3">
      <c r="B828"/>
      <c r="C828"/>
    </row>
    <row r="829" spans="2:3">
      <c r="B829"/>
      <c r="C829"/>
    </row>
    <row r="830" spans="2:3">
      <c r="B830"/>
      <c r="C830"/>
    </row>
    <row r="831" spans="2:3">
      <c r="B831"/>
      <c r="C831"/>
    </row>
    <row r="832" spans="2:3">
      <c r="B832"/>
      <c r="C832"/>
    </row>
    <row r="833" spans="2:3">
      <c r="B833"/>
      <c r="C833"/>
    </row>
    <row r="834" spans="2:3">
      <c r="B834"/>
      <c r="C834"/>
    </row>
    <row r="835" spans="2:3">
      <c r="B835"/>
      <c r="C835"/>
    </row>
    <row r="836" spans="2:3">
      <c r="B836"/>
      <c r="C836"/>
    </row>
    <row r="837" spans="2:3">
      <c r="B837"/>
      <c r="C837"/>
    </row>
    <row r="838" spans="2:3">
      <c r="B838"/>
      <c r="C838"/>
    </row>
    <row r="839" spans="2:3">
      <c r="B839"/>
      <c r="C839"/>
    </row>
    <row r="840" spans="2:3">
      <c r="B840"/>
      <c r="C840"/>
    </row>
    <row r="841" spans="2:3">
      <c r="B841"/>
      <c r="C841"/>
    </row>
    <row r="842" spans="2:3">
      <c r="B842"/>
      <c r="C842"/>
    </row>
    <row r="843" spans="2:3">
      <c r="B843"/>
      <c r="C843"/>
    </row>
    <row r="844" spans="2:3">
      <c r="B844"/>
      <c r="C844"/>
    </row>
    <row r="845" spans="2:3">
      <c r="B845"/>
      <c r="C845"/>
    </row>
    <row r="846" spans="2:3">
      <c r="B846"/>
      <c r="C846"/>
    </row>
    <row r="847" spans="2:3">
      <c r="B847"/>
      <c r="C847"/>
    </row>
    <row r="848" spans="2:3">
      <c r="B848"/>
      <c r="C848"/>
    </row>
    <row r="849" spans="2:3">
      <c r="B849"/>
      <c r="C849"/>
    </row>
    <row r="850" spans="2:3">
      <c r="B850"/>
      <c r="C850"/>
    </row>
    <row r="851" spans="2:3">
      <c r="B851"/>
      <c r="C851"/>
    </row>
    <row r="852" spans="2:3">
      <c r="B852"/>
      <c r="C852"/>
    </row>
    <row r="853" spans="2:3">
      <c r="B853"/>
      <c r="C853"/>
    </row>
    <row r="854" spans="2:3">
      <c r="B854"/>
      <c r="C854"/>
    </row>
    <row r="855" spans="2:3">
      <c r="B855"/>
      <c r="C855"/>
    </row>
    <row r="856" spans="2:3">
      <c r="B856"/>
      <c r="C856"/>
    </row>
    <row r="857" spans="2:3">
      <c r="B857"/>
      <c r="C857"/>
    </row>
    <row r="858" spans="2:3">
      <c r="B858"/>
      <c r="C858"/>
    </row>
    <row r="859" spans="2:3">
      <c r="B859"/>
      <c r="C859"/>
    </row>
    <row r="860" spans="2:3">
      <c r="B860"/>
      <c r="C860"/>
    </row>
    <row r="861" spans="2:3">
      <c r="B861"/>
      <c r="C861"/>
    </row>
    <row r="862" spans="2:3">
      <c r="B862"/>
      <c r="C862"/>
    </row>
    <row r="863" spans="2:3">
      <c r="B863"/>
      <c r="C863"/>
    </row>
    <row r="864" spans="2:3">
      <c r="B864"/>
      <c r="C864"/>
    </row>
    <row r="865" spans="2:3">
      <c r="B865"/>
      <c r="C865"/>
    </row>
    <row r="866" spans="2:3">
      <c r="B866"/>
      <c r="C866"/>
    </row>
    <row r="867" spans="2:3">
      <c r="B867"/>
      <c r="C867"/>
    </row>
    <row r="868" spans="2:3">
      <c r="B868"/>
      <c r="C868"/>
    </row>
    <row r="869" spans="2:3">
      <c r="B869"/>
      <c r="C869"/>
    </row>
    <row r="870" spans="2:3">
      <c r="B870"/>
      <c r="C870"/>
    </row>
    <row r="871" spans="2:3">
      <c r="B871"/>
      <c r="C871"/>
    </row>
    <row r="872" spans="2:3">
      <c r="B872"/>
      <c r="C872"/>
    </row>
    <row r="873" spans="2:3">
      <c r="B873"/>
      <c r="C873"/>
    </row>
    <row r="874" spans="2:3">
      <c r="B874"/>
      <c r="C874"/>
    </row>
    <row r="875" spans="2:3">
      <c r="B875"/>
      <c r="C875"/>
    </row>
    <row r="876" spans="2:3">
      <c r="B876"/>
      <c r="C876"/>
    </row>
    <row r="877" spans="2:3">
      <c r="B877"/>
      <c r="C877"/>
    </row>
    <row r="878" spans="2:3">
      <c r="B878"/>
      <c r="C878"/>
    </row>
    <row r="879" spans="2:3">
      <c r="B879"/>
      <c r="C879"/>
    </row>
    <row r="880" spans="2:3">
      <c r="B880"/>
      <c r="C880"/>
    </row>
    <row r="881" spans="2:3">
      <c r="B881"/>
      <c r="C881"/>
    </row>
    <row r="882" spans="2:3">
      <c r="B882"/>
      <c r="C882"/>
    </row>
    <row r="883" spans="2:3">
      <c r="B883"/>
      <c r="C883"/>
    </row>
    <row r="884" spans="2:3">
      <c r="B884"/>
      <c r="C884"/>
    </row>
    <row r="885" spans="2:3">
      <c r="B885"/>
      <c r="C885"/>
    </row>
    <row r="886" spans="2:3">
      <c r="B886"/>
      <c r="C886"/>
    </row>
    <row r="887" spans="2:3">
      <c r="B887"/>
      <c r="C887"/>
    </row>
    <row r="888" spans="2:3">
      <c r="B888"/>
      <c r="C888"/>
    </row>
    <row r="889" spans="2:3">
      <c r="B889"/>
      <c r="C889"/>
    </row>
    <row r="890" spans="2:3">
      <c r="B890"/>
      <c r="C890"/>
    </row>
    <row r="891" spans="2:3">
      <c r="B891"/>
      <c r="C891"/>
    </row>
    <row r="892" spans="2:3">
      <c r="B892"/>
      <c r="C892"/>
    </row>
    <row r="893" spans="2:3">
      <c r="B893"/>
      <c r="C893"/>
    </row>
    <row r="894" spans="2:3">
      <c r="B894"/>
      <c r="C894"/>
    </row>
    <row r="895" spans="2:3">
      <c r="B895"/>
      <c r="C895"/>
    </row>
    <row r="896" spans="2:3">
      <c r="B896"/>
      <c r="C896"/>
    </row>
    <row r="897" spans="2:3">
      <c r="B897"/>
      <c r="C897"/>
    </row>
    <row r="898" spans="2:3">
      <c r="B898"/>
      <c r="C898"/>
    </row>
    <row r="899" spans="2:3">
      <c r="B899"/>
      <c r="C899"/>
    </row>
    <row r="900" spans="2:3">
      <c r="B900"/>
      <c r="C900"/>
    </row>
    <row r="901" spans="2:3">
      <c r="B901"/>
      <c r="C901"/>
    </row>
    <row r="902" spans="2:3">
      <c r="B902"/>
      <c r="C902"/>
    </row>
    <row r="903" spans="2:3">
      <c r="B903"/>
      <c r="C903"/>
    </row>
    <row r="904" spans="2:3">
      <c r="B904"/>
      <c r="C904"/>
    </row>
    <row r="905" spans="2:3">
      <c r="B905"/>
      <c r="C905"/>
    </row>
    <row r="906" spans="2:3">
      <c r="B906"/>
      <c r="C906"/>
    </row>
    <row r="907" spans="2:3">
      <c r="B907"/>
      <c r="C907"/>
    </row>
    <row r="908" spans="2:3">
      <c r="B908"/>
      <c r="C908"/>
    </row>
    <row r="909" spans="2:3">
      <c r="B909"/>
      <c r="C909"/>
    </row>
    <row r="910" spans="2:3">
      <c r="B910"/>
      <c r="C910"/>
    </row>
    <row r="911" spans="2:3">
      <c r="B911"/>
      <c r="C911"/>
    </row>
    <row r="912" spans="2:3">
      <c r="B912"/>
      <c r="C912"/>
    </row>
    <row r="913" spans="2:3">
      <c r="B913"/>
      <c r="C913"/>
    </row>
    <row r="914" spans="2:3">
      <c r="B914"/>
      <c r="C914"/>
    </row>
    <row r="915" spans="2:3">
      <c r="B915"/>
      <c r="C915"/>
    </row>
    <row r="916" spans="2:3">
      <c r="B916"/>
      <c r="C916"/>
    </row>
    <row r="917" spans="2:3">
      <c r="B917"/>
      <c r="C917"/>
    </row>
    <row r="918" spans="2:3">
      <c r="B918"/>
      <c r="C918"/>
    </row>
    <row r="919" spans="2:3">
      <c r="B919"/>
      <c r="C919"/>
    </row>
    <row r="920" spans="2:3">
      <c r="B920"/>
      <c r="C920"/>
    </row>
    <row r="921" spans="2:3">
      <c r="B921"/>
      <c r="C921"/>
    </row>
    <row r="922" spans="2:3">
      <c r="B922"/>
      <c r="C922"/>
    </row>
    <row r="923" spans="2:3">
      <c r="B923"/>
      <c r="C923"/>
    </row>
    <row r="924" spans="2:3">
      <c r="B924"/>
      <c r="C924"/>
    </row>
    <row r="925" spans="2:3">
      <c r="B925"/>
      <c r="C925"/>
    </row>
    <row r="926" spans="2:3">
      <c r="B926"/>
      <c r="C926"/>
    </row>
    <row r="927" spans="2:3">
      <c r="B927"/>
      <c r="C927"/>
    </row>
    <row r="928" spans="2:3">
      <c r="B928"/>
      <c r="C928"/>
    </row>
    <row r="929" spans="2:3">
      <c r="B929"/>
      <c r="C929"/>
    </row>
    <row r="930" spans="2:3">
      <c r="B930"/>
      <c r="C930"/>
    </row>
    <row r="931" spans="2:3">
      <c r="B931"/>
      <c r="C931"/>
    </row>
    <row r="932" spans="2:3">
      <c r="B932"/>
      <c r="C932"/>
    </row>
    <row r="933" spans="2:3">
      <c r="B933"/>
      <c r="C933"/>
    </row>
    <row r="934" spans="2:3">
      <c r="B934"/>
      <c r="C934"/>
    </row>
    <row r="935" spans="2:3">
      <c r="B935"/>
      <c r="C935"/>
    </row>
    <row r="936" spans="2:3">
      <c r="B936"/>
      <c r="C936"/>
    </row>
    <row r="937" spans="2:3">
      <c r="B937"/>
      <c r="C937"/>
    </row>
    <row r="938" spans="2:3">
      <c r="B938"/>
      <c r="C938"/>
    </row>
    <row r="939" spans="2:3">
      <c r="B939"/>
      <c r="C939"/>
    </row>
    <row r="940" spans="2:3">
      <c r="B940"/>
      <c r="C940"/>
    </row>
    <row r="941" spans="2:3">
      <c r="B941"/>
      <c r="C941"/>
    </row>
    <row r="942" spans="2:3">
      <c r="B942"/>
      <c r="C942"/>
    </row>
    <row r="943" spans="2:3">
      <c r="B943"/>
      <c r="C943"/>
    </row>
    <row r="944" spans="2:3">
      <c r="B944"/>
      <c r="C944"/>
    </row>
    <row r="945" spans="2:3">
      <c r="B945"/>
      <c r="C945"/>
    </row>
    <row r="946" spans="2:3">
      <c r="B946"/>
      <c r="C946"/>
    </row>
    <row r="947" spans="2:3">
      <c r="B947"/>
      <c r="C947"/>
    </row>
    <row r="948" spans="2:3">
      <c r="B948"/>
      <c r="C948"/>
    </row>
    <row r="949" spans="2:3">
      <c r="B949"/>
      <c r="C949"/>
    </row>
    <row r="950" spans="2:3">
      <c r="B950"/>
      <c r="C950"/>
    </row>
    <row r="951" spans="2:3">
      <c r="B951"/>
      <c r="C951"/>
    </row>
    <row r="952" spans="2:3">
      <c r="B952"/>
      <c r="C952"/>
    </row>
    <row r="953" spans="2:3">
      <c r="B953"/>
      <c r="C953"/>
    </row>
    <row r="954" spans="2:3">
      <c r="B954"/>
      <c r="C954"/>
    </row>
    <row r="955" spans="2:3">
      <c r="B955"/>
      <c r="C955"/>
    </row>
    <row r="956" spans="2:3">
      <c r="B956"/>
      <c r="C956"/>
    </row>
    <row r="957" spans="2:3">
      <c r="B957"/>
      <c r="C957"/>
    </row>
    <row r="958" spans="2:3">
      <c r="B958"/>
      <c r="C958"/>
    </row>
    <row r="959" spans="2:3">
      <c r="B959"/>
      <c r="C959"/>
    </row>
    <row r="960" spans="2:3">
      <c r="B960"/>
      <c r="C960"/>
    </row>
    <row r="961" spans="2:3">
      <c r="B961"/>
      <c r="C961"/>
    </row>
    <row r="962" spans="2:3">
      <c r="B962"/>
      <c r="C962"/>
    </row>
    <row r="963" spans="2:3">
      <c r="B963"/>
      <c r="C963"/>
    </row>
    <row r="964" spans="2:3">
      <c r="B964"/>
      <c r="C964"/>
    </row>
    <row r="965" spans="2:3">
      <c r="B965"/>
      <c r="C965"/>
    </row>
    <row r="966" spans="2:3">
      <c r="B966"/>
      <c r="C966"/>
    </row>
    <row r="967" spans="2:3">
      <c r="B967"/>
      <c r="C967"/>
    </row>
    <row r="968" spans="2:3">
      <c r="B968"/>
      <c r="C968"/>
    </row>
    <row r="969" spans="2:3">
      <c r="B969"/>
      <c r="C969"/>
    </row>
    <row r="970" spans="2:3">
      <c r="B970"/>
      <c r="C970"/>
    </row>
    <row r="971" spans="2:3">
      <c r="B971"/>
      <c r="C971"/>
    </row>
    <row r="972" spans="2:3">
      <c r="B972"/>
      <c r="C972"/>
    </row>
    <row r="973" spans="2:3">
      <c r="B973"/>
      <c r="C973"/>
    </row>
    <row r="974" spans="2:3">
      <c r="B974"/>
      <c r="C974"/>
    </row>
    <row r="975" spans="2:3">
      <c r="B975"/>
      <c r="C975"/>
    </row>
    <row r="976" spans="2:3">
      <c r="B976"/>
      <c r="C976"/>
    </row>
    <row r="977" spans="2:3">
      <c r="B977"/>
      <c r="C977"/>
    </row>
    <row r="978" spans="2:3">
      <c r="B978"/>
      <c r="C978"/>
    </row>
    <row r="979" spans="2:3">
      <c r="B979"/>
      <c r="C979"/>
    </row>
    <row r="980" spans="2:3">
      <c r="B980"/>
      <c r="C980"/>
    </row>
    <row r="981" spans="2:3">
      <c r="B981"/>
      <c r="C981"/>
    </row>
    <row r="982" spans="2:3">
      <c r="B982"/>
      <c r="C982"/>
    </row>
    <row r="983" spans="2:3">
      <c r="B983"/>
      <c r="C983"/>
    </row>
    <row r="984" spans="2:3">
      <c r="B984"/>
      <c r="C984"/>
    </row>
    <row r="985" spans="2:3">
      <c r="B985"/>
      <c r="C985"/>
    </row>
    <row r="986" spans="2:3">
      <c r="B986"/>
      <c r="C986"/>
    </row>
    <row r="987" spans="2:3">
      <c r="B987"/>
      <c r="C987"/>
    </row>
    <row r="988" spans="2:3">
      <c r="B988"/>
      <c r="C988"/>
    </row>
    <row r="989" spans="2:3">
      <c r="B989"/>
      <c r="C989"/>
    </row>
    <row r="990" spans="2:3">
      <c r="B990"/>
      <c r="C990"/>
    </row>
    <row r="991" spans="2:3">
      <c r="B991"/>
      <c r="C991"/>
    </row>
    <row r="992" spans="2:3">
      <c r="B992"/>
      <c r="C992"/>
    </row>
    <row r="993" spans="2:3">
      <c r="B993"/>
      <c r="C993"/>
    </row>
    <row r="994" spans="2:3">
      <c r="B994"/>
      <c r="C994"/>
    </row>
    <row r="995" spans="2:3">
      <c r="B995"/>
      <c r="C995"/>
    </row>
    <row r="996" spans="2:3">
      <c r="B996"/>
      <c r="C996"/>
    </row>
    <row r="997" spans="2:3">
      <c r="B997"/>
      <c r="C997"/>
    </row>
    <row r="998" spans="2:3">
      <c r="B998"/>
      <c r="C998"/>
    </row>
    <row r="999" spans="2:3">
      <c r="B999"/>
      <c r="C999"/>
    </row>
    <row r="1000" spans="2:3">
      <c r="B1000"/>
      <c r="C1000"/>
    </row>
    <row r="1001" spans="2:3">
      <c r="B1001"/>
      <c r="C1001"/>
    </row>
    <row r="1002" spans="2:3">
      <c r="B1002"/>
      <c r="C1002"/>
    </row>
    <row r="1003" spans="2:3">
      <c r="B1003"/>
      <c r="C1003"/>
    </row>
    <row r="1004" spans="2:3">
      <c r="B1004"/>
      <c r="C1004"/>
    </row>
    <row r="1005" spans="2:3">
      <c r="B1005"/>
      <c r="C1005"/>
    </row>
    <row r="1006" spans="2:3">
      <c r="B1006"/>
      <c r="C1006"/>
    </row>
    <row r="1007" spans="2:3">
      <c r="B1007"/>
      <c r="C1007"/>
    </row>
    <row r="1008" spans="2:3">
      <c r="B1008"/>
      <c r="C1008"/>
    </row>
    <row r="1009" spans="2:3">
      <c r="B1009"/>
      <c r="C1009"/>
    </row>
    <row r="1010" spans="2:3">
      <c r="B1010"/>
      <c r="C1010"/>
    </row>
    <row r="1011" spans="2:3">
      <c r="B1011"/>
      <c r="C1011"/>
    </row>
    <row r="1012" spans="2:3">
      <c r="B1012"/>
      <c r="C1012"/>
    </row>
    <row r="1013" spans="2:3">
      <c r="B1013"/>
      <c r="C1013"/>
    </row>
    <row r="1014" spans="2:3">
      <c r="B1014"/>
      <c r="C1014"/>
    </row>
    <row r="1015" spans="2:3">
      <c r="B1015"/>
      <c r="C1015"/>
    </row>
    <row r="1016" spans="2:3">
      <c r="B1016"/>
      <c r="C1016"/>
    </row>
    <row r="1017" spans="2:3">
      <c r="B1017"/>
      <c r="C1017"/>
    </row>
    <row r="1018" spans="2:3">
      <c r="B1018"/>
      <c r="C1018"/>
    </row>
    <row r="1019" spans="2:3">
      <c r="B1019"/>
      <c r="C1019"/>
    </row>
    <row r="1020" spans="2:3">
      <c r="B1020"/>
      <c r="C1020"/>
    </row>
    <row r="1021" spans="2:3">
      <c r="B1021"/>
      <c r="C1021"/>
    </row>
    <row r="1022" spans="2:3">
      <c r="B1022"/>
      <c r="C1022"/>
    </row>
    <row r="1023" spans="2:3">
      <c r="B1023"/>
      <c r="C1023"/>
    </row>
    <row r="1024" spans="2:3">
      <c r="B1024"/>
      <c r="C1024"/>
    </row>
    <row r="1025" spans="2:3">
      <c r="B1025"/>
      <c r="C1025"/>
    </row>
    <row r="1026" spans="2:3">
      <c r="B1026"/>
      <c r="C1026"/>
    </row>
    <row r="1027" spans="2:3">
      <c r="B1027"/>
      <c r="C1027"/>
    </row>
    <row r="1028" spans="2:3">
      <c r="B1028"/>
      <c r="C1028"/>
    </row>
    <row r="1029" spans="2:3">
      <c r="B1029"/>
      <c r="C1029"/>
    </row>
    <row r="1030" spans="2:3">
      <c r="B1030"/>
      <c r="C1030"/>
    </row>
    <row r="1031" spans="2:3">
      <c r="B1031"/>
      <c r="C1031"/>
    </row>
    <row r="1032" spans="2:3">
      <c r="B1032"/>
      <c r="C1032"/>
    </row>
    <row r="1033" spans="2:3">
      <c r="B1033"/>
      <c r="C1033"/>
    </row>
    <row r="1034" spans="2:3">
      <c r="B1034"/>
      <c r="C1034"/>
    </row>
    <row r="1035" spans="2:3">
      <c r="B1035"/>
      <c r="C1035"/>
    </row>
    <row r="1036" spans="2:3">
      <c r="B1036"/>
      <c r="C1036"/>
    </row>
    <row r="1037" spans="2:3">
      <c r="B1037"/>
      <c r="C1037"/>
    </row>
    <row r="1038" spans="2:3">
      <c r="B1038"/>
      <c r="C1038"/>
    </row>
    <row r="1039" spans="2:3">
      <c r="B1039"/>
      <c r="C1039"/>
    </row>
    <row r="1040" spans="2:3">
      <c r="B1040"/>
      <c r="C1040"/>
    </row>
    <row r="1041" spans="2:3">
      <c r="B1041"/>
      <c r="C1041"/>
    </row>
    <row r="1042" spans="2:3">
      <c r="B1042"/>
      <c r="C1042"/>
    </row>
    <row r="1043" spans="2:3">
      <c r="B1043"/>
      <c r="C1043"/>
    </row>
    <row r="1044" spans="2:3">
      <c r="B1044"/>
      <c r="C1044"/>
    </row>
    <row r="1045" spans="2:3">
      <c r="B1045"/>
      <c r="C1045"/>
    </row>
    <row r="1046" spans="2:3">
      <c r="B1046"/>
      <c r="C1046"/>
    </row>
    <row r="1047" spans="2:3">
      <c r="B1047"/>
      <c r="C1047"/>
    </row>
    <row r="1048" spans="2:3">
      <c r="B1048"/>
      <c r="C1048"/>
    </row>
    <row r="1049" spans="2:3">
      <c r="B1049"/>
      <c r="C1049"/>
    </row>
    <row r="1050" spans="2:3">
      <c r="B1050"/>
      <c r="C1050"/>
    </row>
    <row r="1051" spans="2:3">
      <c r="B1051"/>
      <c r="C1051"/>
    </row>
    <row r="1052" spans="2:3">
      <c r="B1052"/>
      <c r="C1052"/>
    </row>
    <row r="1053" spans="2:3">
      <c r="B1053"/>
      <c r="C1053"/>
    </row>
    <row r="1054" spans="2:3">
      <c r="B1054"/>
      <c r="C1054"/>
    </row>
    <row r="1055" spans="2:3">
      <c r="B1055"/>
      <c r="C1055"/>
    </row>
    <row r="1056" spans="2:3">
      <c r="B1056"/>
      <c r="C1056"/>
    </row>
    <row r="1057" spans="2:3">
      <c r="B1057"/>
      <c r="C1057"/>
    </row>
    <row r="1058" spans="2:3">
      <c r="B1058"/>
      <c r="C1058"/>
    </row>
    <row r="1059" spans="2:3">
      <c r="B1059"/>
      <c r="C1059"/>
    </row>
    <row r="1060" spans="2:3">
      <c r="B1060"/>
      <c r="C1060"/>
    </row>
    <row r="1061" spans="2:3">
      <c r="B1061"/>
      <c r="C1061"/>
    </row>
    <row r="1062" spans="2:3">
      <c r="B1062"/>
      <c r="C1062"/>
    </row>
    <row r="1063" spans="2:3">
      <c r="B1063"/>
      <c r="C1063"/>
    </row>
    <row r="1064" spans="2:3">
      <c r="B1064"/>
      <c r="C1064"/>
    </row>
    <row r="1065" spans="2:3">
      <c r="B1065"/>
      <c r="C1065"/>
    </row>
    <row r="1066" spans="2:3">
      <c r="B1066"/>
      <c r="C1066"/>
    </row>
    <row r="1067" spans="2:3">
      <c r="B1067"/>
      <c r="C1067"/>
    </row>
    <row r="1068" spans="2:3">
      <c r="B1068"/>
      <c r="C1068"/>
    </row>
    <row r="1069" spans="2:3">
      <c r="B1069"/>
      <c r="C1069"/>
    </row>
    <row r="1070" spans="2:3">
      <c r="B1070"/>
      <c r="C1070"/>
    </row>
    <row r="1071" spans="2:3">
      <c r="B1071"/>
      <c r="C1071"/>
    </row>
    <row r="1072" spans="2:3">
      <c r="B1072"/>
      <c r="C1072"/>
    </row>
    <row r="1073" spans="2:3">
      <c r="B1073"/>
      <c r="C1073"/>
    </row>
    <row r="1074" spans="2:3">
      <c r="B1074"/>
      <c r="C1074"/>
    </row>
    <row r="1075" spans="2:3">
      <c r="B1075"/>
      <c r="C1075"/>
    </row>
    <row r="1076" spans="2:3">
      <c r="B1076"/>
      <c r="C1076"/>
    </row>
    <row r="1077" spans="2:3">
      <c r="B1077"/>
      <c r="C1077"/>
    </row>
    <row r="1078" spans="2:3">
      <c r="B1078"/>
      <c r="C1078"/>
    </row>
    <row r="1079" spans="2:3">
      <c r="B1079"/>
      <c r="C1079"/>
    </row>
    <row r="1080" spans="2:3">
      <c r="B1080"/>
      <c r="C1080"/>
    </row>
    <row r="1081" spans="2:3">
      <c r="B1081"/>
      <c r="C1081"/>
    </row>
    <row r="1082" spans="2:3">
      <c r="B1082"/>
      <c r="C1082"/>
    </row>
    <row r="1083" spans="2:3">
      <c r="B1083"/>
      <c r="C1083"/>
    </row>
    <row r="1084" spans="2:3">
      <c r="B1084"/>
      <c r="C1084"/>
    </row>
    <row r="1085" spans="2:3">
      <c r="B1085"/>
      <c r="C1085"/>
    </row>
    <row r="1086" spans="2:3">
      <c r="B1086"/>
      <c r="C1086"/>
    </row>
    <row r="1087" spans="2:3">
      <c r="B1087"/>
      <c r="C1087"/>
    </row>
    <row r="1088" spans="2:3">
      <c r="B1088"/>
      <c r="C1088"/>
    </row>
    <row r="1089" spans="2:3">
      <c r="B1089"/>
      <c r="C1089"/>
    </row>
    <row r="1090" spans="2:3">
      <c r="B1090"/>
      <c r="C1090"/>
    </row>
    <row r="1091" spans="2:3">
      <c r="B1091"/>
      <c r="C1091"/>
    </row>
    <row r="1092" spans="2:3">
      <c r="B1092"/>
      <c r="C1092"/>
    </row>
    <row r="1093" spans="2:3">
      <c r="B1093"/>
      <c r="C1093"/>
    </row>
    <row r="1094" spans="2:3">
      <c r="B1094"/>
      <c r="C1094"/>
    </row>
    <row r="1095" spans="2:3">
      <c r="B1095"/>
      <c r="C1095"/>
    </row>
    <row r="1096" spans="2:3">
      <c r="B1096"/>
      <c r="C1096"/>
    </row>
    <row r="1097" spans="2:3">
      <c r="B1097"/>
      <c r="C1097"/>
    </row>
    <row r="1098" spans="2:3">
      <c r="B1098"/>
      <c r="C1098"/>
    </row>
    <row r="1099" spans="2:3">
      <c r="B1099"/>
      <c r="C1099"/>
    </row>
    <row r="1100" spans="2:3">
      <c r="B1100"/>
      <c r="C1100"/>
    </row>
    <row r="1101" spans="2:3">
      <c r="B1101"/>
      <c r="C1101"/>
    </row>
    <row r="1102" spans="2:3">
      <c r="B1102"/>
      <c r="C1102"/>
    </row>
    <row r="1103" spans="2:3">
      <c r="B1103"/>
      <c r="C1103"/>
    </row>
    <row r="1104" spans="2:3">
      <c r="B1104"/>
      <c r="C1104"/>
    </row>
    <row r="1105" spans="2:3">
      <c r="B1105"/>
      <c r="C1105"/>
    </row>
    <row r="1106" spans="2:3">
      <c r="B1106"/>
      <c r="C1106"/>
    </row>
    <row r="1107" spans="2:3">
      <c r="B1107"/>
      <c r="C1107"/>
    </row>
    <row r="1108" spans="2:3">
      <c r="B1108"/>
      <c r="C1108"/>
    </row>
    <row r="1109" spans="2:3">
      <c r="B1109"/>
      <c r="C1109"/>
    </row>
    <row r="1110" spans="2:3">
      <c r="B1110"/>
      <c r="C1110"/>
    </row>
    <row r="1111" spans="2:3">
      <c r="B1111"/>
      <c r="C1111"/>
    </row>
    <row r="1112" spans="2:3">
      <c r="B1112"/>
      <c r="C1112"/>
    </row>
    <row r="1113" spans="2:3">
      <c r="B1113"/>
      <c r="C1113"/>
    </row>
    <row r="1114" spans="2:3">
      <c r="B1114"/>
      <c r="C1114"/>
    </row>
    <row r="1115" spans="2:3">
      <c r="B1115"/>
      <c r="C1115"/>
    </row>
    <row r="1116" spans="2:3">
      <c r="B1116"/>
      <c r="C1116"/>
    </row>
    <row r="1117" spans="2:3">
      <c r="B1117"/>
      <c r="C1117"/>
    </row>
    <row r="1118" spans="2:3">
      <c r="B1118"/>
      <c r="C1118"/>
    </row>
    <row r="1119" spans="2:3">
      <c r="B1119"/>
      <c r="C1119"/>
    </row>
    <row r="1120" spans="2:3">
      <c r="B1120"/>
      <c r="C1120"/>
    </row>
    <row r="1121" spans="2:3">
      <c r="B1121"/>
      <c r="C1121"/>
    </row>
    <row r="1122" spans="2:3">
      <c r="B1122"/>
      <c r="C1122"/>
    </row>
    <row r="1123" spans="2:3">
      <c r="B1123"/>
      <c r="C1123"/>
    </row>
    <row r="1124" spans="2:3">
      <c r="B1124"/>
      <c r="C1124"/>
    </row>
    <row r="1125" spans="2:3">
      <c r="B1125"/>
      <c r="C1125"/>
    </row>
    <row r="1126" spans="2:3">
      <c r="B1126"/>
      <c r="C1126"/>
    </row>
    <row r="1127" spans="2:3">
      <c r="B1127"/>
      <c r="C1127"/>
    </row>
    <row r="1128" spans="2:3">
      <c r="B1128"/>
      <c r="C1128"/>
    </row>
    <row r="1129" spans="2:3">
      <c r="B1129"/>
      <c r="C1129"/>
    </row>
    <row r="1130" spans="2:3">
      <c r="B1130"/>
      <c r="C1130"/>
    </row>
    <row r="1131" spans="2:3">
      <c r="B1131"/>
      <c r="C1131"/>
    </row>
    <row r="1132" spans="2:3">
      <c r="B1132"/>
      <c r="C1132"/>
    </row>
    <row r="1133" spans="2:3">
      <c r="B1133"/>
      <c r="C1133"/>
    </row>
    <row r="1134" spans="2:3">
      <c r="B1134"/>
      <c r="C1134"/>
    </row>
    <row r="1135" spans="2:3">
      <c r="B1135"/>
      <c r="C1135"/>
    </row>
    <row r="1136" spans="2:3">
      <c r="B1136"/>
      <c r="C1136"/>
    </row>
    <row r="1137" spans="2:3">
      <c r="B1137"/>
      <c r="C1137"/>
    </row>
    <row r="1138" spans="2:3">
      <c r="B1138"/>
      <c r="C1138"/>
    </row>
    <row r="1139" spans="2:3">
      <c r="B1139"/>
      <c r="C1139"/>
    </row>
    <row r="1140" spans="2:3">
      <c r="B1140"/>
      <c r="C1140"/>
    </row>
    <row r="1141" spans="2:3">
      <c r="B1141"/>
      <c r="C1141"/>
    </row>
    <row r="1142" spans="2:3">
      <c r="B1142"/>
      <c r="C1142"/>
    </row>
    <row r="1143" spans="2:3">
      <c r="B1143"/>
      <c r="C1143"/>
    </row>
    <row r="1144" spans="2:3">
      <c r="B1144"/>
      <c r="C1144"/>
    </row>
    <row r="1145" spans="2:3">
      <c r="B1145"/>
      <c r="C1145"/>
    </row>
    <row r="1146" spans="2:3">
      <c r="B1146"/>
      <c r="C1146"/>
    </row>
    <row r="1147" spans="2:3">
      <c r="B1147"/>
      <c r="C1147"/>
    </row>
    <row r="1148" spans="2:3">
      <c r="B1148"/>
      <c r="C1148"/>
    </row>
    <row r="1149" spans="2:3">
      <c r="B1149"/>
      <c r="C1149"/>
    </row>
    <row r="1150" spans="2:3">
      <c r="B1150"/>
      <c r="C1150"/>
    </row>
    <row r="1151" spans="2:3">
      <c r="B1151"/>
      <c r="C1151"/>
    </row>
    <row r="1152" spans="2:3">
      <c r="B1152"/>
      <c r="C1152"/>
    </row>
    <row r="1153" spans="2:3">
      <c r="B1153"/>
      <c r="C1153"/>
    </row>
    <row r="1154" spans="2:3">
      <c r="B1154"/>
      <c r="C1154"/>
    </row>
    <row r="1155" spans="2:3">
      <c r="B1155"/>
      <c r="C1155"/>
    </row>
    <row r="1156" spans="2:3">
      <c r="B1156"/>
      <c r="C1156"/>
    </row>
    <row r="1157" spans="2:3">
      <c r="B1157"/>
      <c r="C1157"/>
    </row>
    <row r="1158" spans="2:3">
      <c r="B1158"/>
      <c r="C1158"/>
    </row>
    <row r="1159" spans="2:3">
      <c r="B1159"/>
      <c r="C1159"/>
    </row>
    <row r="1160" spans="2:3">
      <c r="B1160"/>
      <c r="C1160"/>
    </row>
    <row r="1161" spans="2:3">
      <c r="B1161"/>
      <c r="C1161"/>
    </row>
    <row r="1162" spans="2:3">
      <c r="B1162"/>
      <c r="C1162"/>
    </row>
    <row r="1163" spans="2:3">
      <c r="B1163"/>
      <c r="C1163"/>
    </row>
    <row r="1164" spans="2:3">
      <c r="B1164"/>
      <c r="C1164"/>
    </row>
    <row r="1165" spans="2:3">
      <c r="B1165"/>
      <c r="C1165"/>
    </row>
    <row r="1166" spans="2:3">
      <c r="B1166"/>
      <c r="C1166"/>
    </row>
    <row r="1167" spans="2:3">
      <c r="B1167"/>
      <c r="C1167"/>
    </row>
    <row r="1168" spans="2:3">
      <c r="B1168"/>
      <c r="C1168"/>
    </row>
    <row r="1169" spans="2:3">
      <c r="B1169"/>
      <c r="C1169"/>
    </row>
    <row r="1170" spans="2:3">
      <c r="B1170"/>
      <c r="C1170"/>
    </row>
    <row r="1171" spans="2:3">
      <c r="B1171"/>
      <c r="C1171"/>
    </row>
    <row r="1172" spans="2:3">
      <c r="B1172"/>
      <c r="C1172"/>
    </row>
    <row r="1173" spans="2:3">
      <c r="B1173"/>
      <c r="C1173"/>
    </row>
    <row r="1174" spans="2:3">
      <c r="B1174"/>
      <c r="C1174"/>
    </row>
    <row r="1175" spans="2:3">
      <c r="B1175"/>
      <c r="C1175"/>
    </row>
    <row r="1176" spans="2:3">
      <c r="B1176"/>
      <c r="C1176"/>
    </row>
    <row r="1177" spans="2:3">
      <c r="B1177"/>
      <c r="C1177"/>
    </row>
    <row r="1178" spans="2:3">
      <c r="B1178"/>
      <c r="C1178"/>
    </row>
    <row r="1179" spans="2:3">
      <c r="B1179"/>
      <c r="C1179"/>
    </row>
    <row r="1180" spans="2:3">
      <c r="B1180"/>
      <c r="C1180"/>
    </row>
    <row r="1181" spans="2:3">
      <c r="B1181"/>
      <c r="C1181"/>
    </row>
    <row r="1182" spans="2:3">
      <c r="B1182"/>
      <c r="C1182"/>
    </row>
    <row r="1183" spans="2:3">
      <c r="B1183"/>
      <c r="C1183"/>
    </row>
    <row r="1184" spans="2:3">
      <c r="B1184"/>
      <c r="C1184"/>
    </row>
    <row r="1185" spans="2:3">
      <c r="B1185"/>
      <c r="C1185"/>
    </row>
    <row r="1186" spans="2:3">
      <c r="B1186"/>
      <c r="C1186"/>
    </row>
    <row r="1187" spans="2:3">
      <c r="B1187"/>
      <c r="C1187"/>
    </row>
    <row r="1188" spans="2:3">
      <c r="B1188"/>
      <c r="C1188"/>
    </row>
    <row r="1189" spans="2:3">
      <c r="B1189"/>
      <c r="C1189"/>
    </row>
    <row r="1190" spans="2:3">
      <c r="B1190"/>
      <c r="C1190"/>
    </row>
    <row r="1191" spans="2:3">
      <c r="B1191"/>
      <c r="C1191"/>
    </row>
    <row r="1192" spans="2:3">
      <c r="B1192"/>
      <c r="C1192"/>
    </row>
    <row r="1193" spans="2:3">
      <c r="B1193"/>
      <c r="C1193"/>
    </row>
    <row r="1194" spans="2:3">
      <c r="B1194"/>
      <c r="C1194"/>
    </row>
    <row r="1195" spans="2:3">
      <c r="B1195"/>
      <c r="C1195"/>
    </row>
    <row r="1196" spans="2:3">
      <c r="B1196"/>
      <c r="C1196"/>
    </row>
    <row r="1197" spans="2:3">
      <c r="B1197"/>
      <c r="C1197"/>
    </row>
    <row r="1198" spans="2:3">
      <c r="B1198"/>
      <c r="C1198"/>
    </row>
    <row r="1199" spans="2:3">
      <c r="B1199"/>
      <c r="C1199"/>
    </row>
    <row r="1200" spans="2:3">
      <c r="B1200"/>
      <c r="C1200"/>
    </row>
    <row r="1201" spans="2:3">
      <c r="B1201"/>
      <c r="C1201"/>
    </row>
    <row r="1202" spans="2:3">
      <c r="B1202"/>
      <c r="C1202"/>
    </row>
    <row r="1203" spans="2:3">
      <c r="B1203"/>
      <c r="C1203"/>
    </row>
    <row r="1204" spans="2:3">
      <c r="B1204"/>
      <c r="C1204"/>
    </row>
    <row r="1205" spans="2:3">
      <c r="B1205"/>
      <c r="C1205"/>
    </row>
    <row r="1206" spans="2:3">
      <c r="B1206"/>
      <c r="C1206"/>
    </row>
    <row r="1207" spans="2:3">
      <c r="B1207"/>
      <c r="C1207"/>
    </row>
    <row r="1208" spans="2:3">
      <c r="B1208"/>
      <c r="C1208"/>
    </row>
    <row r="1209" spans="2:3">
      <c r="B1209"/>
      <c r="C1209"/>
    </row>
    <row r="1210" spans="2:3">
      <c r="B1210"/>
      <c r="C1210"/>
    </row>
    <row r="1211" spans="2:3">
      <c r="B1211"/>
      <c r="C1211"/>
    </row>
    <row r="1212" spans="2:3">
      <c r="B1212"/>
      <c r="C1212"/>
    </row>
    <row r="1213" spans="2:3">
      <c r="B1213"/>
      <c r="C1213"/>
    </row>
    <row r="1214" spans="2:3">
      <c r="B1214"/>
      <c r="C1214"/>
    </row>
    <row r="1215" spans="2:3">
      <c r="B1215"/>
      <c r="C1215"/>
    </row>
    <row r="1216" spans="2:3">
      <c r="B1216"/>
      <c r="C1216"/>
    </row>
    <row r="1217" spans="2:3">
      <c r="B1217"/>
      <c r="C1217"/>
    </row>
    <row r="1218" spans="2:3">
      <c r="B1218"/>
      <c r="C1218"/>
    </row>
    <row r="1219" spans="2:3">
      <c r="B1219"/>
      <c r="C1219"/>
    </row>
    <row r="1220" spans="2:3">
      <c r="B1220"/>
      <c r="C1220"/>
    </row>
    <row r="1221" spans="2:3">
      <c r="B1221"/>
      <c r="C1221"/>
    </row>
    <row r="1222" spans="2:3">
      <c r="B1222"/>
      <c r="C1222"/>
    </row>
    <row r="1223" spans="2:3">
      <c r="B1223"/>
      <c r="C1223"/>
    </row>
    <row r="1224" spans="2:3">
      <c r="B1224"/>
      <c r="C1224"/>
    </row>
    <row r="1225" spans="2:3">
      <c r="B1225"/>
      <c r="C1225"/>
    </row>
    <row r="1226" spans="2:3">
      <c r="B1226"/>
      <c r="C1226"/>
    </row>
    <row r="1227" spans="2:3">
      <c r="B1227"/>
      <c r="C1227"/>
    </row>
    <row r="1228" spans="2:3">
      <c r="B1228"/>
      <c r="C1228"/>
    </row>
    <row r="1229" spans="2:3">
      <c r="B1229"/>
      <c r="C1229"/>
    </row>
    <row r="1230" spans="2:3">
      <c r="B1230"/>
      <c r="C1230"/>
    </row>
    <row r="1231" spans="2:3">
      <c r="B1231"/>
      <c r="C1231"/>
    </row>
    <row r="1232" spans="2:3">
      <c r="B1232"/>
      <c r="C1232"/>
    </row>
    <row r="1233" spans="2:3">
      <c r="B1233"/>
      <c r="C1233"/>
    </row>
    <row r="1234" spans="2:3">
      <c r="B1234"/>
      <c r="C1234"/>
    </row>
    <row r="1235" spans="2:3">
      <c r="B1235"/>
      <c r="C1235"/>
    </row>
    <row r="1236" spans="2:3">
      <c r="B1236"/>
      <c r="C1236"/>
    </row>
    <row r="1237" spans="2:3">
      <c r="B1237"/>
      <c r="C1237"/>
    </row>
    <row r="1238" spans="2:3">
      <c r="B1238"/>
      <c r="C1238"/>
    </row>
    <row r="1239" spans="2:3">
      <c r="B1239"/>
      <c r="C1239"/>
    </row>
    <row r="1240" spans="2:3">
      <c r="B1240"/>
      <c r="C1240"/>
    </row>
    <row r="1241" spans="2:3">
      <c r="B1241"/>
      <c r="C1241"/>
    </row>
    <row r="1242" spans="2:3">
      <c r="B1242"/>
      <c r="C1242"/>
    </row>
    <row r="1243" spans="2:3">
      <c r="B1243"/>
      <c r="C1243"/>
    </row>
    <row r="1244" spans="2:3">
      <c r="B1244"/>
      <c r="C1244"/>
    </row>
    <row r="1245" spans="2:3">
      <c r="B1245"/>
      <c r="C1245"/>
    </row>
    <row r="1246" spans="2:3">
      <c r="B1246"/>
      <c r="C1246"/>
    </row>
    <row r="1247" spans="2:3">
      <c r="B1247"/>
      <c r="C1247"/>
    </row>
    <row r="1248" spans="2:3">
      <c r="B1248"/>
      <c r="C1248"/>
    </row>
    <row r="1249" spans="2:3">
      <c r="B1249"/>
      <c r="C1249"/>
    </row>
    <row r="1250" spans="2:3">
      <c r="B1250"/>
      <c r="C1250"/>
    </row>
    <row r="1251" spans="2:3">
      <c r="B1251"/>
      <c r="C1251"/>
    </row>
    <row r="1252" spans="2:3">
      <c r="B1252"/>
      <c r="C1252"/>
    </row>
    <row r="1253" spans="2:3">
      <c r="B1253"/>
      <c r="C1253"/>
    </row>
    <row r="1254" spans="2:3">
      <c r="B1254"/>
      <c r="C1254"/>
    </row>
    <row r="1255" spans="2:3">
      <c r="B1255"/>
      <c r="C1255"/>
    </row>
    <row r="1256" spans="2:3">
      <c r="B1256"/>
      <c r="C1256"/>
    </row>
    <row r="1257" spans="2:3">
      <c r="B1257"/>
      <c r="C1257"/>
    </row>
    <row r="1258" spans="2:3">
      <c r="B1258"/>
      <c r="C1258"/>
    </row>
    <row r="1259" spans="2:3">
      <c r="B1259"/>
      <c r="C1259"/>
    </row>
    <row r="1260" spans="2:3">
      <c r="B1260"/>
      <c r="C1260"/>
    </row>
    <row r="1261" spans="2:3">
      <c r="B1261"/>
      <c r="C1261"/>
    </row>
    <row r="1262" spans="2:3">
      <c r="B1262"/>
      <c r="C1262"/>
    </row>
    <row r="1263" spans="2:3">
      <c r="B1263"/>
      <c r="C1263"/>
    </row>
    <row r="1264" spans="2:3">
      <c r="B1264"/>
      <c r="C1264"/>
    </row>
    <row r="1265" spans="2:3">
      <c r="B1265"/>
      <c r="C1265"/>
    </row>
    <row r="1266" spans="2:3">
      <c r="B1266"/>
      <c r="C1266"/>
    </row>
    <row r="1267" spans="2:3">
      <c r="B1267"/>
      <c r="C1267"/>
    </row>
    <row r="1268" spans="2:3">
      <c r="B1268"/>
      <c r="C1268"/>
    </row>
    <row r="1269" spans="2:3">
      <c r="B1269"/>
      <c r="C1269"/>
    </row>
    <row r="1270" spans="2:3">
      <c r="B1270"/>
      <c r="C1270"/>
    </row>
    <row r="1271" spans="2:3">
      <c r="B1271"/>
      <c r="C1271"/>
    </row>
    <row r="1272" spans="2:3">
      <c r="B1272"/>
      <c r="C1272"/>
    </row>
    <row r="1273" spans="2:3">
      <c r="B1273"/>
      <c r="C1273"/>
    </row>
    <row r="1274" spans="2:3">
      <c r="B1274"/>
      <c r="C1274"/>
    </row>
    <row r="1275" spans="2:3">
      <c r="B1275"/>
      <c r="C1275"/>
    </row>
    <row r="1276" spans="2:3">
      <c r="B1276"/>
      <c r="C1276"/>
    </row>
    <row r="1277" spans="2:3">
      <c r="B1277"/>
      <c r="C1277"/>
    </row>
    <row r="1278" spans="2:3">
      <c r="B1278"/>
      <c r="C1278"/>
    </row>
    <row r="1279" spans="2:3">
      <c r="B1279"/>
      <c r="C1279"/>
    </row>
    <row r="1280" spans="2:3">
      <c r="B1280"/>
      <c r="C1280"/>
    </row>
    <row r="1281" spans="2:3">
      <c r="B1281"/>
      <c r="C1281"/>
    </row>
    <row r="1282" spans="2:3">
      <c r="B1282"/>
      <c r="C1282"/>
    </row>
    <row r="1283" spans="2:3">
      <c r="B1283"/>
      <c r="C1283"/>
    </row>
    <row r="1284" spans="2:3">
      <c r="B1284"/>
      <c r="C1284"/>
    </row>
    <row r="1285" spans="2:3">
      <c r="B1285"/>
      <c r="C1285"/>
    </row>
    <row r="1286" spans="2:3">
      <c r="B1286"/>
      <c r="C1286"/>
    </row>
    <row r="1287" spans="2:3">
      <c r="B1287"/>
      <c r="C1287"/>
    </row>
    <row r="1288" spans="2:3">
      <c r="B1288"/>
      <c r="C1288"/>
    </row>
    <row r="1289" spans="2:3">
      <c r="B1289"/>
      <c r="C1289"/>
    </row>
    <row r="1290" spans="2:3">
      <c r="B1290"/>
      <c r="C1290"/>
    </row>
    <row r="1291" spans="2:3">
      <c r="B1291"/>
      <c r="C1291"/>
    </row>
    <row r="1292" spans="2:3">
      <c r="B1292"/>
      <c r="C1292"/>
    </row>
    <row r="1293" spans="2:3">
      <c r="B1293"/>
      <c r="C1293"/>
    </row>
    <row r="1294" spans="2:3">
      <c r="B1294"/>
      <c r="C1294"/>
    </row>
    <row r="1295" spans="2:3">
      <c r="B1295"/>
      <c r="C1295"/>
    </row>
    <row r="1296" spans="2:3">
      <c r="B1296"/>
      <c r="C1296"/>
    </row>
    <row r="1297" spans="2:3">
      <c r="B1297"/>
      <c r="C1297"/>
    </row>
    <row r="1298" spans="2:3">
      <c r="B1298"/>
      <c r="C1298"/>
    </row>
    <row r="1299" spans="2:3">
      <c r="B1299"/>
      <c r="C1299"/>
    </row>
    <row r="1300" spans="2:3">
      <c r="B1300"/>
      <c r="C1300"/>
    </row>
    <row r="1301" spans="2:3">
      <c r="B1301"/>
      <c r="C1301"/>
    </row>
    <row r="1302" spans="2:3">
      <c r="B1302"/>
      <c r="C1302"/>
    </row>
    <row r="1303" spans="2:3">
      <c r="B1303"/>
      <c r="C1303"/>
    </row>
    <row r="1304" spans="2:3">
      <c r="B1304"/>
      <c r="C1304"/>
    </row>
    <row r="1305" spans="2:3">
      <c r="B1305"/>
      <c r="C1305"/>
    </row>
    <row r="1306" spans="2:3">
      <c r="B1306"/>
      <c r="C1306"/>
    </row>
    <row r="1307" spans="2:3">
      <c r="B1307"/>
      <c r="C1307"/>
    </row>
    <row r="1308" spans="2:3">
      <c r="B1308"/>
      <c r="C1308"/>
    </row>
    <row r="1309" spans="2:3">
      <c r="B1309"/>
      <c r="C1309"/>
    </row>
    <row r="1310" spans="2:3">
      <c r="B1310"/>
      <c r="C1310"/>
    </row>
    <row r="1311" spans="2:3">
      <c r="B1311"/>
      <c r="C1311"/>
    </row>
    <row r="1312" spans="2:3">
      <c r="B1312"/>
      <c r="C1312"/>
    </row>
    <row r="1313" spans="2:3">
      <c r="B1313"/>
      <c r="C1313"/>
    </row>
    <row r="1314" spans="2:3">
      <c r="B1314"/>
      <c r="C1314"/>
    </row>
    <row r="1315" spans="2:3">
      <c r="B1315"/>
      <c r="C1315"/>
    </row>
    <row r="1316" spans="2:3">
      <c r="B1316"/>
      <c r="C1316"/>
    </row>
    <row r="1317" spans="2:3">
      <c r="B1317"/>
      <c r="C1317"/>
    </row>
    <row r="1318" spans="2:3">
      <c r="B1318"/>
      <c r="C1318"/>
    </row>
  </sheetData>
  <mergeCells count="1">
    <mergeCell ref="A1:E1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0B675-F973-4133-BD3D-A5456347ACE4}">
  <dimension ref="A1:E380"/>
  <sheetViews>
    <sheetView workbookViewId="0">
      <selection activeCell="G9" sqref="G9"/>
    </sheetView>
  </sheetViews>
  <sheetFormatPr defaultRowHeight="15"/>
  <cols>
    <col min="1" max="1" width="20" customWidth="1"/>
    <col min="2" max="2" width="44.5703125" style="217" bestFit="1" customWidth="1"/>
    <col min="3" max="3" width="16.28515625" style="217" bestFit="1" customWidth="1"/>
    <col min="4" max="4" width="13.28515625" bestFit="1" customWidth="1"/>
    <col min="5" max="6" width="15.7109375" bestFit="1" customWidth="1"/>
    <col min="7" max="66" width="32.85546875" bestFit="1" customWidth="1"/>
    <col min="67" max="67" width="38" bestFit="1" customWidth="1"/>
    <col min="68" max="68" width="20.7109375" bestFit="1" customWidth="1"/>
  </cols>
  <sheetData>
    <row r="1" spans="1:5" s="235" customFormat="1" ht="63.75" customHeight="1">
      <c r="A1" s="234" t="s">
        <v>2110</v>
      </c>
      <c r="B1" s="234"/>
      <c r="C1" s="234"/>
      <c r="D1" s="234"/>
      <c r="E1" s="234"/>
    </row>
    <row r="2" spans="1:5" s="222" customFormat="1" ht="45">
      <c r="A2" s="221" t="s">
        <v>2079</v>
      </c>
      <c r="B2" s="221" t="s">
        <v>8</v>
      </c>
      <c r="C2" s="220" t="s">
        <v>533</v>
      </c>
      <c r="D2" s="220" t="s">
        <v>536</v>
      </c>
      <c r="E2" s="222" t="s">
        <v>534</v>
      </c>
    </row>
    <row r="3" spans="1:5">
      <c r="A3" t="s">
        <v>857</v>
      </c>
      <c r="B3" t="s">
        <v>159</v>
      </c>
      <c r="C3" s="218">
        <v>213</v>
      </c>
      <c r="D3" s="218">
        <v>96.615095999999994</v>
      </c>
      <c r="E3" s="216">
        <v>668.44</v>
      </c>
    </row>
    <row r="4" spans="1:5">
      <c r="A4" t="s">
        <v>2080</v>
      </c>
      <c r="B4"/>
      <c r="C4" s="218">
        <v>213</v>
      </c>
      <c r="D4" s="218">
        <v>96.615095999999994</v>
      </c>
      <c r="E4" s="216">
        <v>668.44</v>
      </c>
    </row>
    <row r="5" spans="1:5">
      <c r="A5" t="s">
        <v>921</v>
      </c>
      <c r="B5" t="s">
        <v>48</v>
      </c>
      <c r="C5" s="218">
        <v>325</v>
      </c>
      <c r="D5" s="218">
        <v>147.41739999999999</v>
      </c>
      <c r="E5" s="216">
        <v>6825</v>
      </c>
    </row>
    <row r="6" spans="1:5">
      <c r="A6" t="s">
        <v>2081</v>
      </c>
      <c r="B6"/>
      <c r="C6" s="218">
        <v>325</v>
      </c>
      <c r="D6" s="218">
        <v>147.41739999999999</v>
      </c>
      <c r="E6" s="216">
        <v>6825</v>
      </c>
    </row>
    <row r="7" spans="1:5">
      <c r="A7" t="s">
        <v>538</v>
      </c>
      <c r="B7" t="s">
        <v>43</v>
      </c>
      <c r="C7" s="218">
        <v>82453</v>
      </c>
      <c r="D7" s="218">
        <v>37400.021176000002</v>
      </c>
      <c r="E7" s="216">
        <v>75276.7</v>
      </c>
    </row>
    <row r="8" spans="1:5">
      <c r="A8" t="s">
        <v>2082</v>
      </c>
      <c r="B8"/>
      <c r="C8" s="218">
        <v>82453</v>
      </c>
      <c r="D8" s="218">
        <v>37400.021176000002</v>
      </c>
      <c r="E8" s="216">
        <v>75276.7</v>
      </c>
    </row>
    <row r="9" spans="1:5">
      <c r="A9" t="s">
        <v>539</v>
      </c>
      <c r="B9" t="s">
        <v>163</v>
      </c>
      <c r="C9" s="218">
        <v>16</v>
      </c>
      <c r="D9" s="218">
        <v>7.2574719999999999</v>
      </c>
      <c r="E9" s="216">
        <v>532</v>
      </c>
    </row>
    <row r="10" spans="1:5">
      <c r="B10" t="s">
        <v>48</v>
      </c>
      <c r="C10" s="218">
        <v>400</v>
      </c>
      <c r="D10" s="218">
        <v>181.43680000000001</v>
      </c>
      <c r="E10" s="216">
        <v>7200</v>
      </c>
    </row>
    <row r="11" spans="1:5">
      <c r="A11" t="s">
        <v>2083</v>
      </c>
      <c r="B11"/>
      <c r="C11" s="218">
        <v>416</v>
      </c>
      <c r="D11" s="218">
        <v>188.69427200000001</v>
      </c>
      <c r="E11" s="216">
        <v>7732</v>
      </c>
    </row>
    <row r="12" spans="1:5">
      <c r="A12" t="s">
        <v>540</v>
      </c>
      <c r="B12" t="s">
        <v>36</v>
      </c>
      <c r="C12" s="218">
        <v>148</v>
      </c>
      <c r="D12" s="218">
        <v>67.131615999999994</v>
      </c>
      <c r="E12" s="216">
        <v>634.24</v>
      </c>
    </row>
    <row r="13" spans="1:5">
      <c r="A13" t="s">
        <v>2084</v>
      </c>
      <c r="B13"/>
      <c r="C13" s="218">
        <v>148</v>
      </c>
      <c r="D13" s="218">
        <v>67.131615999999994</v>
      </c>
      <c r="E13" s="216">
        <v>634.24</v>
      </c>
    </row>
    <row r="14" spans="1:5">
      <c r="A14" t="s">
        <v>551</v>
      </c>
      <c r="B14" t="s">
        <v>71</v>
      </c>
      <c r="C14" s="218">
        <v>6066</v>
      </c>
      <c r="D14" s="218">
        <v>2751.4890719999999</v>
      </c>
      <c r="E14" s="216">
        <v>17145.239999999998</v>
      </c>
    </row>
    <row r="15" spans="1:5">
      <c r="B15" t="s">
        <v>139</v>
      </c>
      <c r="C15" s="218">
        <v>30</v>
      </c>
      <c r="D15" s="218">
        <v>13.607759999999999</v>
      </c>
      <c r="E15" s="216">
        <v>1380</v>
      </c>
    </row>
    <row r="16" spans="1:5">
      <c r="B16" t="s">
        <v>154</v>
      </c>
      <c r="C16" s="218">
        <v>80</v>
      </c>
      <c r="D16" s="218">
        <v>36.28736</v>
      </c>
      <c r="E16" s="216">
        <v>133.04000000000002</v>
      </c>
    </row>
    <row r="17" spans="1:5">
      <c r="A17" t="s">
        <v>2085</v>
      </c>
      <c r="B17"/>
      <c r="C17" s="218">
        <v>6176</v>
      </c>
      <c r="D17" s="218">
        <v>2801.3841919999995</v>
      </c>
      <c r="E17" s="216">
        <v>18658.28</v>
      </c>
    </row>
    <row r="18" spans="1:5">
      <c r="A18" t="s">
        <v>541</v>
      </c>
      <c r="B18" t="s">
        <v>40</v>
      </c>
      <c r="C18" s="218">
        <v>4000</v>
      </c>
      <c r="D18" s="218">
        <v>1814.3679999999999</v>
      </c>
      <c r="E18" s="216">
        <v>1226</v>
      </c>
    </row>
    <row r="19" spans="1:5">
      <c r="B19" t="s">
        <v>96</v>
      </c>
      <c r="C19" s="218">
        <v>27623</v>
      </c>
      <c r="D19" s="218">
        <v>12529.571816</v>
      </c>
      <c r="E19" s="216">
        <v>42628.290000000008</v>
      </c>
    </row>
    <row r="20" spans="1:5">
      <c r="B20" t="s">
        <v>163</v>
      </c>
      <c r="C20" s="218">
        <v>1916</v>
      </c>
      <c r="D20" s="218">
        <v>869.0822720000001</v>
      </c>
      <c r="E20" s="216">
        <v>5626.54</v>
      </c>
    </row>
    <row r="21" spans="1:5">
      <c r="B21" t="s">
        <v>76</v>
      </c>
      <c r="C21" s="218">
        <v>225</v>
      </c>
      <c r="D21" s="218">
        <v>102.0582</v>
      </c>
      <c r="E21" s="216">
        <v>346.5</v>
      </c>
    </row>
    <row r="22" spans="1:5">
      <c r="B22" t="s">
        <v>154</v>
      </c>
      <c r="C22" s="218">
        <v>28903</v>
      </c>
      <c r="D22" s="218">
        <v>13110.169576</v>
      </c>
      <c r="E22" s="216">
        <v>35625</v>
      </c>
    </row>
    <row r="23" spans="1:5">
      <c r="B23" t="s">
        <v>54</v>
      </c>
      <c r="C23" s="218">
        <v>900</v>
      </c>
      <c r="D23" s="218">
        <v>408.2328</v>
      </c>
      <c r="E23" s="216">
        <v>532.20000000000005</v>
      </c>
    </row>
    <row r="24" spans="1:5">
      <c r="A24" t="s">
        <v>2086</v>
      </c>
      <c r="B24"/>
      <c r="C24" s="218">
        <v>63567</v>
      </c>
      <c r="D24" s="218">
        <v>28833.482663999999</v>
      </c>
      <c r="E24" s="216">
        <v>85984.530000000013</v>
      </c>
    </row>
    <row r="25" spans="1:5">
      <c r="A25" t="s">
        <v>542</v>
      </c>
      <c r="B25" t="s">
        <v>151</v>
      </c>
      <c r="C25" s="218">
        <v>1103</v>
      </c>
      <c r="D25" s="218">
        <v>500.31197600000002</v>
      </c>
      <c r="E25" s="216">
        <v>1355</v>
      </c>
    </row>
    <row r="26" spans="1:5">
      <c r="B26" t="s">
        <v>17</v>
      </c>
      <c r="C26" s="218">
        <v>50</v>
      </c>
      <c r="D26" s="218">
        <v>22.679600000000001</v>
      </c>
      <c r="E26" s="216">
        <v>50</v>
      </c>
    </row>
    <row r="27" spans="1:5">
      <c r="B27" t="s">
        <v>210</v>
      </c>
      <c r="C27" s="218">
        <v>143</v>
      </c>
      <c r="D27" s="218">
        <v>64.863655999999992</v>
      </c>
      <c r="E27" s="216">
        <v>269.5</v>
      </c>
    </row>
    <row r="28" spans="1:5">
      <c r="B28" t="s">
        <v>294</v>
      </c>
      <c r="C28" s="218">
        <v>1449</v>
      </c>
      <c r="D28" s="218">
        <v>657.25480799999991</v>
      </c>
      <c r="E28" s="216">
        <v>1014.3</v>
      </c>
    </row>
    <row r="29" spans="1:5">
      <c r="B29" t="s">
        <v>23</v>
      </c>
      <c r="C29" s="218">
        <v>524</v>
      </c>
      <c r="D29" s="218">
        <v>237.682208</v>
      </c>
      <c r="E29" s="216">
        <v>524</v>
      </c>
    </row>
    <row r="30" spans="1:5">
      <c r="B30" t="s">
        <v>299</v>
      </c>
      <c r="C30" s="218">
        <v>101</v>
      </c>
      <c r="D30" s="218">
        <v>45.812791999999995</v>
      </c>
      <c r="E30" s="216">
        <v>69.7</v>
      </c>
    </row>
    <row r="31" spans="1:5">
      <c r="B31" t="s">
        <v>84</v>
      </c>
      <c r="C31" s="218">
        <v>128</v>
      </c>
      <c r="D31" s="218">
        <v>58.059775999999999</v>
      </c>
      <c r="E31" s="216">
        <v>135.75</v>
      </c>
    </row>
    <row r="32" spans="1:5">
      <c r="B32" t="s">
        <v>298</v>
      </c>
      <c r="C32" s="218">
        <v>314</v>
      </c>
      <c r="D32" s="218">
        <v>142.427888</v>
      </c>
      <c r="E32" s="216">
        <v>251.2</v>
      </c>
    </row>
    <row r="33" spans="1:5">
      <c r="B33" t="s">
        <v>163</v>
      </c>
      <c r="C33" s="218">
        <v>72</v>
      </c>
      <c r="D33" s="218">
        <v>32.658624000000003</v>
      </c>
      <c r="E33" s="216">
        <v>114.6</v>
      </c>
    </row>
    <row r="34" spans="1:5">
      <c r="B34" t="s">
        <v>203</v>
      </c>
      <c r="C34" s="218">
        <v>180</v>
      </c>
      <c r="D34" s="218">
        <v>81.646559999999994</v>
      </c>
      <c r="E34" s="216">
        <v>180</v>
      </c>
    </row>
    <row r="35" spans="1:5">
      <c r="B35" t="s">
        <v>301</v>
      </c>
      <c r="C35" s="218">
        <v>11</v>
      </c>
      <c r="D35" s="218">
        <v>4.9895119999999995</v>
      </c>
      <c r="E35" s="216">
        <v>8</v>
      </c>
    </row>
    <row r="36" spans="1:5">
      <c r="B36" t="s">
        <v>137</v>
      </c>
      <c r="C36" s="218">
        <v>76</v>
      </c>
      <c r="D36" s="218">
        <v>34.472991999999998</v>
      </c>
      <c r="E36" s="216">
        <v>76</v>
      </c>
    </row>
    <row r="37" spans="1:5">
      <c r="B37" t="s">
        <v>300</v>
      </c>
      <c r="C37" s="218">
        <v>69</v>
      </c>
      <c r="D37" s="218">
        <v>31.297848000000002</v>
      </c>
      <c r="E37" s="216">
        <v>74</v>
      </c>
    </row>
    <row r="38" spans="1:5">
      <c r="B38" t="s">
        <v>228</v>
      </c>
      <c r="C38" s="218">
        <v>32</v>
      </c>
      <c r="D38" s="218">
        <v>14.514944</v>
      </c>
      <c r="E38" s="216">
        <v>32</v>
      </c>
    </row>
    <row r="39" spans="1:5">
      <c r="B39" t="s">
        <v>204</v>
      </c>
      <c r="C39" s="218">
        <v>251</v>
      </c>
      <c r="D39" s="218">
        <v>113.851592</v>
      </c>
      <c r="E39" s="216">
        <v>277.5</v>
      </c>
    </row>
    <row r="40" spans="1:5">
      <c r="B40" t="s">
        <v>201</v>
      </c>
      <c r="C40" s="218">
        <v>105</v>
      </c>
      <c r="D40" s="218">
        <v>47.627159999999996</v>
      </c>
      <c r="E40" s="216">
        <v>73.5</v>
      </c>
    </row>
    <row r="41" spans="1:5">
      <c r="B41" t="s">
        <v>73</v>
      </c>
      <c r="C41" s="218">
        <v>210</v>
      </c>
      <c r="D41" s="218">
        <v>95.254320000000007</v>
      </c>
      <c r="E41" s="216">
        <v>136</v>
      </c>
    </row>
    <row r="42" spans="1:5">
      <c r="B42" t="s">
        <v>61</v>
      </c>
      <c r="C42" s="218">
        <v>16.5</v>
      </c>
      <c r="D42" s="218">
        <v>7.4842679999999993</v>
      </c>
      <c r="E42" s="216">
        <v>146.75</v>
      </c>
    </row>
    <row r="43" spans="1:5">
      <c r="B43" t="s">
        <v>159</v>
      </c>
      <c r="C43" s="218">
        <v>427</v>
      </c>
      <c r="D43" s="218">
        <v>193.683784</v>
      </c>
      <c r="E43" s="216">
        <v>533.75</v>
      </c>
    </row>
    <row r="44" spans="1:5">
      <c r="B44" t="s">
        <v>296</v>
      </c>
      <c r="C44" s="218">
        <v>17</v>
      </c>
      <c r="D44" s="218">
        <v>7.7110640000000004</v>
      </c>
      <c r="E44" s="216">
        <v>21.25</v>
      </c>
    </row>
    <row r="45" spans="1:5">
      <c r="B45" t="s">
        <v>128</v>
      </c>
      <c r="C45" s="218">
        <v>262</v>
      </c>
      <c r="D45" s="218">
        <v>118.841104</v>
      </c>
      <c r="E45" s="216">
        <v>327.5</v>
      </c>
    </row>
    <row r="46" spans="1:5">
      <c r="B46" t="s">
        <v>184</v>
      </c>
      <c r="C46" s="218">
        <v>76</v>
      </c>
      <c r="D46" s="218">
        <v>34.472992000000005</v>
      </c>
      <c r="E46" s="216">
        <v>88</v>
      </c>
    </row>
    <row r="47" spans="1:5">
      <c r="A47" t="s">
        <v>2087</v>
      </c>
      <c r="B47"/>
      <c r="C47" s="218">
        <v>5616.5</v>
      </c>
      <c r="D47" s="218">
        <v>2547.5994679999999</v>
      </c>
      <c r="E47" s="216">
        <v>5758.2999999999993</v>
      </c>
    </row>
    <row r="48" spans="1:5">
      <c r="A48" t="s">
        <v>2077</v>
      </c>
      <c r="B48" t="s">
        <v>159</v>
      </c>
      <c r="C48" s="218">
        <v>370</v>
      </c>
      <c r="D48" s="218">
        <v>167.82903999999999</v>
      </c>
      <c r="E48" s="216">
        <v>4375.2299999999996</v>
      </c>
    </row>
    <row r="49" spans="1:5">
      <c r="B49" t="s">
        <v>184</v>
      </c>
      <c r="C49" s="218">
        <v>12</v>
      </c>
      <c r="D49" s="218">
        <v>5.4431039999999999</v>
      </c>
      <c r="E49" s="216">
        <v>456</v>
      </c>
    </row>
    <row r="50" spans="1:5">
      <c r="A50" t="s">
        <v>2088</v>
      </c>
      <c r="B50"/>
      <c r="C50" s="218">
        <v>382</v>
      </c>
      <c r="D50" s="218">
        <v>173.272144</v>
      </c>
      <c r="E50" s="216">
        <v>4831.2299999999996</v>
      </c>
    </row>
    <row r="51" spans="1:5">
      <c r="A51" t="s">
        <v>1371</v>
      </c>
      <c r="B51" t="s">
        <v>314</v>
      </c>
      <c r="C51" s="218">
        <v>1085</v>
      </c>
      <c r="D51" s="218">
        <v>492.14732000000004</v>
      </c>
      <c r="E51" s="216">
        <v>4478</v>
      </c>
    </row>
    <row r="52" spans="1:5">
      <c r="B52" t="s">
        <v>312</v>
      </c>
      <c r="C52" s="218">
        <v>8987</v>
      </c>
      <c r="D52" s="218">
        <v>4076.4313040000006</v>
      </c>
      <c r="E52" s="216">
        <v>15801.9</v>
      </c>
    </row>
    <row r="53" spans="1:5">
      <c r="A53" t="s">
        <v>2089</v>
      </c>
      <c r="B53"/>
      <c r="C53" s="218">
        <v>10072</v>
      </c>
      <c r="D53" s="218">
        <v>4568.5786240000007</v>
      </c>
      <c r="E53" s="216">
        <v>20279.900000000001</v>
      </c>
    </row>
    <row r="54" spans="1:5">
      <c r="A54" t="s">
        <v>552</v>
      </c>
      <c r="B54" t="s">
        <v>121</v>
      </c>
      <c r="C54" s="218">
        <v>1058</v>
      </c>
      <c r="D54" s="218">
        <v>479.90033599999998</v>
      </c>
      <c r="E54" s="216">
        <v>3460.32</v>
      </c>
    </row>
    <row r="55" spans="1:5">
      <c r="B55" t="s">
        <v>17</v>
      </c>
      <c r="C55" s="218">
        <v>10</v>
      </c>
      <c r="D55" s="218">
        <v>4.53592</v>
      </c>
      <c r="E55" s="216">
        <v>58</v>
      </c>
    </row>
    <row r="56" spans="1:5">
      <c r="B56" t="s">
        <v>226</v>
      </c>
      <c r="C56" s="218">
        <v>33</v>
      </c>
      <c r="D56" s="218">
        <v>14.968536</v>
      </c>
      <c r="E56" s="216">
        <v>106.14</v>
      </c>
    </row>
    <row r="57" spans="1:5">
      <c r="B57" t="s">
        <v>82</v>
      </c>
      <c r="C57" s="218">
        <v>1795</v>
      </c>
      <c r="D57" s="218">
        <v>814.19764000000009</v>
      </c>
      <c r="E57" s="216">
        <v>2958.2</v>
      </c>
    </row>
    <row r="58" spans="1:5">
      <c r="B58" t="s">
        <v>40</v>
      </c>
      <c r="C58" s="218">
        <v>529</v>
      </c>
      <c r="D58" s="218">
        <v>239.95016799999999</v>
      </c>
      <c r="E58" s="216">
        <v>848.7</v>
      </c>
    </row>
    <row r="59" spans="1:5">
      <c r="B59" t="s">
        <v>23</v>
      </c>
      <c r="C59" s="218">
        <v>117</v>
      </c>
      <c r="D59" s="218">
        <v>53.070263999999995</v>
      </c>
      <c r="E59" s="216">
        <v>789.36</v>
      </c>
    </row>
    <row r="60" spans="1:5">
      <c r="B60" t="s">
        <v>84</v>
      </c>
      <c r="C60" s="218">
        <v>73.5</v>
      </c>
      <c r="D60" s="218">
        <v>33.339011999999997</v>
      </c>
      <c r="E60" s="216">
        <v>862.04</v>
      </c>
    </row>
    <row r="61" spans="1:5">
      <c r="B61" t="s">
        <v>96</v>
      </c>
      <c r="C61" s="218">
        <v>121</v>
      </c>
      <c r="D61" s="218">
        <v>54.884631999999996</v>
      </c>
      <c r="E61" s="216">
        <v>478.2</v>
      </c>
    </row>
    <row r="62" spans="1:5">
      <c r="B62" t="s">
        <v>163</v>
      </c>
      <c r="C62" s="218">
        <v>77</v>
      </c>
      <c r="D62" s="218">
        <v>34.926583999999998</v>
      </c>
      <c r="E62" s="216">
        <v>259.24</v>
      </c>
    </row>
    <row r="63" spans="1:5">
      <c r="B63" t="s">
        <v>59</v>
      </c>
      <c r="C63" s="218">
        <v>72</v>
      </c>
      <c r="D63" s="218">
        <v>32.658624000000003</v>
      </c>
      <c r="E63" s="216">
        <v>223.75</v>
      </c>
    </row>
    <row r="64" spans="1:5">
      <c r="B64" t="s">
        <v>130</v>
      </c>
      <c r="C64" s="218">
        <v>88</v>
      </c>
      <c r="D64" s="218">
        <v>39.916095999999996</v>
      </c>
      <c r="E64" s="216">
        <v>332</v>
      </c>
    </row>
    <row r="65" spans="1:5">
      <c r="B65" t="s">
        <v>228</v>
      </c>
      <c r="C65" s="218">
        <v>18</v>
      </c>
      <c r="D65" s="218">
        <v>8.1646560000000008</v>
      </c>
      <c r="E65" s="216">
        <v>182.4</v>
      </c>
    </row>
    <row r="66" spans="1:5">
      <c r="B66" t="s">
        <v>36</v>
      </c>
      <c r="C66" s="218">
        <v>479</v>
      </c>
      <c r="D66" s="218">
        <v>217.27056799999997</v>
      </c>
      <c r="E66" s="216">
        <v>1918.6</v>
      </c>
    </row>
    <row r="67" spans="1:5">
      <c r="B67" t="s">
        <v>169</v>
      </c>
      <c r="C67" s="218">
        <v>2</v>
      </c>
      <c r="D67" s="218">
        <v>0.90718399999999999</v>
      </c>
      <c r="E67" s="216">
        <v>73</v>
      </c>
    </row>
    <row r="68" spans="1:5">
      <c r="B68" t="s">
        <v>81</v>
      </c>
      <c r="C68" s="218">
        <v>145</v>
      </c>
      <c r="D68" s="218">
        <v>65.770840000000007</v>
      </c>
      <c r="E68" s="216">
        <v>815.43999999999994</v>
      </c>
    </row>
    <row r="69" spans="1:5">
      <c r="B69" t="s">
        <v>119</v>
      </c>
      <c r="C69" s="218">
        <v>2041</v>
      </c>
      <c r="D69" s="218">
        <v>925.78127199999994</v>
      </c>
      <c r="E69" s="216">
        <v>5244.83</v>
      </c>
    </row>
    <row r="70" spans="1:5">
      <c r="B70" t="s">
        <v>227</v>
      </c>
      <c r="C70" s="218">
        <v>441</v>
      </c>
      <c r="D70" s="218">
        <v>200.03407200000001</v>
      </c>
      <c r="E70" s="216">
        <v>860.2</v>
      </c>
    </row>
    <row r="71" spans="1:5">
      <c r="B71" t="s">
        <v>54</v>
      </c>
      <c r="C71" s="218">
        <v>441</v>
      </c>
      <c r="D71" s="218">
        <v>200.03407200000001</v>
      </c>
      <c r="E71" s="216">
        <v>680.8</v>
      </c>
    </row>
    <row r="72" spans="1:5">
      <c r="B72" t="s">
        <v>50</v>
      </c>
      <c r="C72" s="218">
        <v>238</v>
      </c>
      <c r="D72" s="218">
        <v>107.95489599999999</v>
      </c>
      <c r="E72" s="216">
        <v>1147.56</v>
      </c>
    </row>
    <row r="73" spans="1:5">
      <c r="B73" t="s">
        <v>128</v>
      </c>
      <c r="C73" s="218">
        <v>7948</v>
      </c>
      <c r="D73" s="218">
        <v>3605.1492160000003</v>
      </c>
      <c r="E73" s="216">
        <v>15801.2</v>
      </c>
    </row>
    <row r="74" spans="1:5">
      <c r="B74" t="s">
        <v>38</v>
      </c>
      <c r="C74" s="218">
        <v>145</v>
      </c>
      <c r="D74" s="218">
        <v>65.770840000000007</v>
      </c>
      <c r="E74" s="216">
        <v>1821.25</v>
      </c>
    </row>
    <row r="75" spans="1:5">
      <c r="B75" t="s">
        <v>52</v>
      </c>
      <c r="C75" s="218">
        <v>26</v>
      </c>
      <c r="D75" s="218">
        <v>11.793392000000001</v>
      </c>
      <c r="E75" s="216">
        <v>67</v>
      </c>
    </row>
    <row r="76" spans="1:5">
      <c r="B76" t="s">
        <v>135</v>
      </c>
      <c r="C76" s="218">
        <v>22</v>
      </c>
      <c r="D76" s="218">
        <v>9.979023999999999</v>
      </c>
      <c r="E76" s="216">
        <v>84.5</v>
      </c>
    </row>
    <row r="77" spans="1:5">
      <c r="A77" t="s">
        <v>2090</v>
      </c>
      <c r="B77"/>
      <c r="C77" s="218">
        <v>15919.5</v>
      </c>
      <c r="D77" s="218">
        <v>7220.9578439999996</v>
      </c>
      <c r="E77" s="216">
        <v>39072.730000000003</v>
      </c>
    </row>
    <row r="78" spans="1:5">
      <c r="A78" t="s">
        <v>553</v>
      </c>
      <c r="B78" t="s">
        <v>15</v>
      </c>
      <c r="C78" s="218">
        <v>167</v>
      </c>
      <c r="D78" s="218">
        <v>75.749864000000002</v>
      </c>
      <c r="E78" s="216">
        <v>3382.05</v>
      </c>
    </row>
    <row r="79" spans="1:5">
      <c r="B79" t="s">
        <v>67</v>
      </c>
      <c r="C79" s="218">
        <v>1851</v>
      </c>
      <c r="D79" s="218">
        <v>839.59879200000012</v>
      </c>
      <c r="E79" s="216">
        <v>11589.5</v>
      </c>
    </row>
    <row r="80" spans="1:5">
      <c r="B80" t="s">
        <v>17</v>
      </c>
      <c r="C80" s="218">
        <v>330</v>
      </c>
      <c r="D80" s="218">
        <v>149.68536</v>
      </c>
      <c r="E80" s="216">
        <v>759</v>
      </c>
    </row>
    <row r="81" spans="2:5">
      <c r="B81" t="s">
        <v>124</v>
      </c>
      <c r="C81" s="218">
        <v>28</v>
      </c>
      <c r="D81" s="218">
        <v>12.700576</v>
      </c>
      <c r="E81" s="216">
        <v>392</v>
      </c>
    </row>
    <row r="82" spans="2:5">
      <c r="B82" t="s">
        <v>90</v>
      </c>
      <c r="C82" s="218">
        <v>189.5</v>
      </c>
      <c r="D82" s="218">
        <v>85.955683999999991</v>
      </c>
      <c r="E82" s="216">
        <v>2100</v>
      </c>
    </row>
    <row r="83" spans="2:5">
      <c r="B83" t="s">
        <v>21</v>
      </c>
      <c r="C83" s="218">
        <v>500</v>
      </c>
      <c r="D83" s="218">
        <v>226.79599999999999</v>
      </c>
      <c r="E83" s="216">
        <v>486.15999999999997</v>
      </c>
    </row>
    <row r="84" spans="2:5">
      <c r="B84" t="s">
        <v>157</v>
      </c>
      <c r="C84" s="218">
        <v>350</v>
      </c>
      <c r="D84" s="218">
        <v>158.75720000000001</v>
      </c>
      <c r="E84" s="216">
        <v>228.5</v>
      </c>
    </row>
    <row r="85" spans="2:5">
      <c r="B85" t="s">
        <v>47</v>
      </c>
      <c r="C85" s="218">
        <v>20</v>
      </c>
      <c r="D85" s="218">
        <v>9.0718399999999999</v>
      </c>
      <c r="E85" s="216">
        <v>37.64</v>
      </c>
    </row>
    <row r="86" spans="2:5">
      <c r="B86" t="s">
        <v>179</v>
      </c>
      <c r="C86" s="218">
        <v>32</v>
      </c>
      <c r="D86" s="218">
        <v>14.514944</v>
      </c>
      <c r="E86" s="216">
        <v>62.39</v>
      </c>
    </row>
    <row r="87" spans="2:5">
      <c r="B87" t="s">
        <v>23</v>
      </c>
      <c r="C87" s="218">
        <v>400</v>
      </c>
      <c r="D87" s="218">
        <v>181.43680000000001</v>
      </c>
      <c r="E87" s="216">
        <v>336</v>
      </c>
    </row>
    <row r="88" spans="2:5">
      <c r="B88" t="s">
        <v>96</v>
      </c>
      <c r="C88" s="218">
        <v>84</v>
      </c>
      <c r="D88" s="218">
        <v>38.101728000000001</v>
      </c>
      <c r="E88" s="216">
        <v>170.14</v>
      </c>
    </row>
    <row r="89" spans="2:5">
      <c r="B89" t="s">
        <v>158</v>
      </c>
      <c r="C89" s="218">
        <v>809</v>
      </c>
      <c r="D89" s="218">
        <v>366.95592800000003</v>
      </c>
      <c r="E89" s="216">
        <v>3444.7200000000003</v>
      </c>
    </row>
    <row r="90" spans="2:5">
      <c r="B90" t="s">
        <v>58</v>
      </c>
      <c r="C90" s="218">
        <v>948</v>
      </c>
      <c r="D90" s="218">
        <v>430.00521600000002</v>
      </c>
      <c r="E90" s="216">
        <v>5095.7</v>
      </c>
    </row>
    <row r="91" spans="2:5">
      <c r="B91" t="s">
        <v>137</v>
      </c>
      <c r="C91" s="218">
        <v>216</v>
      </c>
      <c r="D91" s="218">
        <v>97.97587200000001</v>
      </c>
      <c r="E91" s="216">
        <v>285.46000000000004</v>
      </c>
    </row>
    <row r="92" spans="2:5">
      <c r="B92" t="s">
        <v>147</v>
      </c>
      <c r="C92" s="218">
        <v>887</v>
      </c>
      <c r="D92" s="218">
        <v>402.33610400000003</v>
      </c>
      <c r="E92" s="216">
        <v>2316.25</v>
      </c>
    </row>
    <row r="93" spans="2:5">
      <c r="B93" t="s">
        <v>48</v>
      </c>
      <c r="C93" s="218">
        <v>1270</v>
      </c>
      <c r="D93" s="218">
        <v>576.06183999999996</v>
      </c>
      <c r="E93" s="216">
        <v>2360.5300000000002</v>
      </c>
    </row>
    <row r="94" spans="2:5">
      <c r="B94" t="s">
        <v>76</v>
      </c>
      <c r="C94" s="218">
        <v>72</v>
      </c>
      <c r="D94" s="218">
        <v>32.658624000000003</v>
      </c>
      <c r="E94" s="216">
        <v>127</v>
      </c>
    </row>
    <row r="95" spans="2:5">
      <c r="B95" t="s">
        <v>61</v>
      </c>
      <c r="C95" s="218">
        <v>1893</v>
      </c>
      <c r="D95" s="218">
        <v>858.64965600000016</v>
      </c>
      <c r="E95" s="216">
        <v>15875.48</v>
      </c>
    </row>
    <row r="96" spans="2:5">
      <c r="B96" t="s">
        <v>81</v>
      </c>
      <c r="C96" s="218">
        <v>1134</v>
      </c>
      <c r="D96" s="218">
        <v>514.3733279999999</v>
      </c>
      <c r="E96" s="216">
        <v>2067.17</v>
      </c>
    </row>
    <row r="97" spans="1:5">
      <c r="B97" t="s">
        <v>54</v>
      </c>
      <c r="C97" s="218">
        <v>75</v>
      </c>
      <c r="D97" s="218">
        <v>34.019400000000005</v>
      </c>
      <c r="E97" s="216">
        <v>64</v>
      </c>
    </row>
    <row r="98" spans="1:5">
      <c r="B98" t="s">
        <v>63</v>
      </c>
      <c r="C98" s="218">
        <v>892</v>
      </c>
      <c r="D98" s="218">
        <v>404.60406399999999</v>
      </c>
      <c r="E98" s="216">
        <v>2322.1999999999998</v>
      </c>
    </row>
    <row r="99" spans="1:5">
      <c r="B99" t="s">
        <v>83</v>
      </c>
      <c r="C99" s="218">
        <v>44</v>
      </c>
      <c r="D99" s="218">
        <v>19.958047999999998</v>
      </c>
      <c r="E99" s="216">
        <v>408.03</v>
      </c>
    </row>
    <row r="100" spans="1:5">
      <c r="B100" t="s">
        <v>146</v>
      </c>
      <c r="C100" s="218">
        <v>156</v>
      </c>
      <c r="D100" s="218">
        <v>70.760352000000012</v>
      </c>
      <c r="E100" s="216">
        <v>472.53999999999996</v>
      </c>
    </row>
    <row r="101" spans="1:5">
      <c r="B101" t="s">
        <v>38</v>
      </c>
      <c r="C101" s="218">
        <v>9802</v>
      </c>
      <c r="D101" s="218">
        <v>4446.1087839999991</v>
      </c>
      <c r="E101" s="216">
        <v>29426.920000000002</v>
      </c>
    </row>
    <row r="102" spans="1:5">
      <c r="B102" t="s">
        <v>161</v>
      </c>
      <c r="C102" s="218">
        <v>192</v>
      </c>
      <c r="D102" s="218">
        <v>87.089663999999999</v>
      </c>
      <c r="E102" s="216">
        <v>5760</v>
      </c>
    </row>
    <row r="103" spans="1:5">
      <c r="A103" t="s">
        <v>2091</v>
      </c>
      <c r="B103"/>
      <c r="C103" s="218">
        <v>22341.5</v>
      </c>
      <c r="D103" s="218">
        <v>10133.925668</v>
      </c>
      <c r="E103" s="216">
        <v>89569.38</v>
      </c>
    </row>
    <row r="104" spans="1:5">
      <c r="A104" t="s">
        <v>549</v>
      </c>
      <c r="B104" t="s">
        <v>61</v>
      </c>
      <c r="C104" s="218">
        <v>90</v>
      </c>
      <c r="D104" s="218">
        <v>40.823279999999997</v>
      </c>
      <c r="E104" s="216">
        <v>2340</v>
      </c>
    </row>
    <row r="105" spans="1:5">
      <c r="A105" t="s">
        <v>2092</v>
      </c>
      <c r="B105"/>
      <c r="C105" s="218">
        <v>90</v>
      </c>
      <c r="D105" s="218">
        <v>40.823279999999997</v>
      </c>
      <c r="E105" s="216">
        <v>2340</v>
      </c>
    </row>
    <row r="106" spans="1:5">
      <c r="A106" t="s">
        <v>548</v>
      </c>
      <c r="B106" t="s">
        <v>90</v>
      </c>
      <c r="C106" s="218">
        <v>1192</v>
      </c>
      <c r="D106" s="218">
        <v>540.68166399999996</v>
      </c>
      <c r="E106" s="216">
        <v>15570</v>
      </c>
    </row>
    <row r="107" spans="1:5">
      <c r="B107" t="s">
        <v>139</v>
      </c>
      <c r="C107" s="218">
        <v>155</v>
      </c>
      <c r="D107" s="218">
        <v>70.306759999999997</v>
      </c>
      <c r="E107" s="216">
        <v>4197.5</v>
      </c>
    </row>
    <row r="108" spans="1:5">
      <c r="B108" t="s">
        <v>65</v>
      </c>
      <c r="C108" s="218">
        <v>10216</v>
      </c>
      <c r="D108" s="218">
        <v>4633.8958720000001</v>
      </c>
      <c r="E108" s="216">
        <v>63080</v>
      </c>
    </row>
    <row r="109" spans="1:5">
      <c r="A109" t="s">
        <v>2093</v>
      </c>
      <c r="B109"/>
      <c r="C109" s="218">
        <v>11563</v>
      </c>
      <c r="D109" s="218">
        <v>5244.8842960000002</v>
      </c>
      <c r="E109" s="216">
        <v>82847.5</v>
      </c>
    </row>
    <row r="110" spans="1:5">
      <c r="A110" t="s">
        <v>544</v>
      </c>
      <c r="B110" t="s">
        <v>48</v>
      </c>
      <c r="C110" s="218">
        <v>231</v>
      </c>
      <c r="D110" s="218">
        <v>104.779752</v>
      </c>
      <c r="E110" s="216">
        <v>1085.28</v>
      </c>
    </row>
    <row r="111" spans="1:5">
      <c r="A111" t="s">
        <v>2094</v>
      </c>
      <c r="B111"/>
      <c r="C111" s="218">
        <v>231</v>
      </c>
      <c r="D111" s="218">
        <v>104.779752</v>
      </c>
      <c r="E111" s="216">
        <v>1085.28</v>
      </c>
    </row>
    <row r="112" spans="1:5">
      <c r="A112" t="s">
        <v>543</v>
      </c>
      <c r="B112" t="s">
        <v>121</v>
      </c>
      <c r="C112" s="218">
        <v>216.07999999999998</v>
      </c>
      <c r="D112" s="218">
        <v>98.012159359999998</v>
      </c>
      <c r="E112" s="216">
        <v>469.6</v>
      </c>
    </row>
    <row r="113" spans="2:5">
      <c r="B113" t="s">
        <v>124</v>
      </c>
      <c r="C113" s="218">
        <v>138.61000000000001</v>
      </c>
      <c r="D113" s="218">
        <v>62.872387119999999</v>
      </c>
      <c r="E113" s="216">
        <v>212</v>
      </c>
    </row>
    <row r="114" spans="2:5">
      <c r="B114" t="s">
        <v>82</v>
      </c>
      <c r="C114" s="218">
        <v>11424.01</v>
      </c>
      <c r="D114" s="218">
        <v>5181.8395439200003</v>
      </c>
      <c r="E114" s="216">
        <v>10479.950000000001</v>
      </c>
    </row>
    <row r="115" spans="2:5">
      <c r="B115" t="s">
        <v>40</v>
      </c>
      <c r="C115" s="218">
        <v>22487</v>
      </c>
      <c r="D115" s="218">
        <v>10199.923304</v>
      </c>
      <c r="E115" s="216">
        <v>11160</v>
      </c>
    </row>
    <row r="116" spans="2:5">
      <c r="B116" t="s">
        <v>23</v>
      </c>
      <c r="C116" s="218">
        <v>48</v>
      </c>
      <c r="D116" s="218">
        <v>21.772416</v>
      </c>
      <c r="E116" s="216">
        <v>100</v>
      </c>
    </row>
    <row r="117" spans="2:5">
      <c r="B117" t="s">
        <v>84</v>
      </c>
      <c r="C117" s="218">
        <v>52</v>
      </c>
      <c r="D117" s="218">
        <v>23.586784000000002</v>
      </c>
      <c r="E117" s="216">
        <v>200.04000000000002</v>
      </c>
    </row>
    <row r="118" spans="2:5">
      <c r="B118" t="s">
        <v>96</v>
      </c>
      <c r="C118" s="218">
        <v>452</v>
      </c>
      <c r="D118" s="218">
        <v>205.023584</v>
      </c>
      <c r="E118" s="216">
        <v>646.15</v>
      </c>
    </row>
    <row r="119" spans="2:5">
      <c r="B119" t="s">
        <v>71</v>
      </c>
      <c r="C119" s="218">
        <v>2657.9</v>
      </c>
      <c r="D119" s="218">
        <v>1205.6021767999998</v>
      </c>
      <c r="E119" s="216">
        <v>5981.42</v>
      </c>
    </row>
    <row r="120" spans="2:5">
      <c r="B120" t="s">
        <v>158</v>
      </c>
      <c r="C120" s="218">
        <v>547</v>
      </c>
      <c r="D120" s="218">
        <v>248.114824</v>
      </c>
      <c r="E120" s="216">
        <v>496</v>
      </c>
    </row>
    <row r="121" spans="2:5">
      <c r="B121" t="s">
        <v>239</v>
      </c>
      <c r="C121" s="218">
        <v>26</v>
      </c>
      <c r="D121" s="218">
        <v>11.793392000000001</v>
      </c>
      <c r="E121" s="216">
        <v>185.55</v>
      </c>
    </row>
    <row r="122" spans="2:5">
      <c r="B122" t="s">
        <v>87</v>
      </c>
      <c r="C122" s="218">
        <v>4.4000000000000004</v>
      </c>
      <c r="D122" s="218">
        <v>1.9958048000000002</v>
      </c>
      <c r="E122" s="216">
        <v>51</v>
      </c>
    </row>
    <row r="123" spans="2:5">
      <c r="B123" t="s">
        <v>58</v>
      </c>
      <c r="C123" s="218">
        <v>1366</v>
      </c>
      <c r="D123" s="218">
        <v>619.60667200000012</v>
      </c>
      <c r="E123" s="216">
        <v>2281.66</v>
      </c>
    </row>
    <row r="124" spans="2:5">
      <c r="B124" t="s">
        <v>59</v>
      </c>
      <c r="C124" s="218">
        <v>413.21000000000004</v>
      </c>
      <c r="D124" s="218">
        <v>187.42875032000001</v>
      </c>
      <c r="E124" s="216">
        <v>1676.47</v>
      </c>
    </row>
    <row r="125" spans="2:5">
      <c r="B125" t="s">
        <v>130</v>
      </c>
      <c r="C125" s="218">
        <v>7954</v>
      </c>
      <c r="D125" s="218">
        <v>3607.8707679999998</v>
      </c>
      <c r="E125" s="216">
        <v>16210</v>
      </c>
    </row>
    <row r="126" spans="2:5">
      <c r="B126" t="s">
        <v>228</v>
      </c>
      <c r="C126" s="218">
        <v>353</v>
      </c>
      <c r="D126" s="218">
        <v>160.117976</v>
      </c>
      <c r="E126" s="216">
        <v>512</v>
      </c>
    </row>
    <row r="127" spans="2:5">
      <c r="B127" t="s">
        <v>36</v>
      </c>
      <c r="C127" s="218">
        <v>1463.44</v>
      </c>
      <c r="D127" s="218">
        <v>663.8046764799999</v>
      </c>
      <c r="E127" s="216">
        <v>3564.6600000000003</v>
      </c>
    </row>
    <row r="128" spans="2:5">
      <c r="B128" t="s">
        <v>126</v>
      </c>
      <c r="C128" s="218">
        <v>353</v>
      </c>
      <c r="D128" s="218">
        <v>160.117976</v>
      </c>
      <c r="E128" s="216">
        <v>512</v>
      </c>
    </row>
    <row r="129" spans="1:5">
      <c r="B129" t="s">
        <v>76</v>
      </c>
      <c r="C129" s="218">
        <v>300</v>
      </c>
      <c r="D129" s="218">
        <v>136.07759999999999</v>
      </c>
      <c r="E129" s="216">
        <v>462</v>
      </c>
    </row>
    <row r="130" spans="1:5">
      <c r="B130" t="s">
        <v>102</v>
      </c>
      <c r="C130" s="218">
        <v>39</v>
      </c>
      <c r="D130" s="218">
        <v>17.690087999999999</v>
      </c>
      <c r="E130" s="216">
        <v>196.76</v>
      </c>
    </row>
    <row r="131" spans="1:5">
      <c r="B131" t="s">
        <v>154</v>
      </c>
      <c r="C131" s="218">
        <v>154</v>
      </c>
      <c r="D131" s="218">
        <v>69.853167999999997</v>
      </c>
      <c r="E131" s="216">
        <v>387.15999999999997</v>
      </c>
    </row>
    <row r="132" spans="1:5">
      <c r="B132" t="s">
        <v>81</v>
      </c>
      <c r="C132" s="218">
        <v>794.04</v>
      </c>
      <c r="D132" s="218">
        <v>360.1701916799999</v>
      </c>
      <c r="E132" s="216">
        <v>3572.93</v>
      </c>
    </row>
    <row r="133" spans="1:5">
      <c r="B133" t="s">
        <v>117</v>
      </c>
      <c r="C133" s="218">
        <v>34.620000000000005</v>
      </c>
      <c r="D133" s="218">
        <v>15.703355040000002</v>
      </c>
      <c r="E133" s="216">
        <v>246</v>
      </c>
    </row>
    <row r="134" spans="1:5">
      <c r="B134" t="s">
        <v>119</v>
      </c>
      <c r="C134" s="218">
        <v>17821.13</v>
      </c>
      <c r="D134" s="218">
        <v>8083.52199896</v>
      </c>
      <c r="E134" s="216">
        <v>28237.39</v>
      </c>
    </row>
    <row r="135" spans="1:5">
      <c r="B135" t="s">
        <v>227</v>
      </c>
      <c r="C135" s="218">
        <v>326</v>
      </c>
      <c r="D135" s="218">
        <v>147.870992</v>
      </c>
      <c r="E135" s="216">
        <v>575.54999999999995</v>
      </c>
    </row>
    <row r="136" spans="1:5">
      <c r="B136" t="s">
        <v>54</v>
      </c>
      <c r="C136" s="218">
        <v>13227</v>
      </c>
      <c r="D136" s="218">
        <v>5999.661384</v>
      </c>
      <c r="E136" s="216">
        <v>10000.6</v>
      </c>
    </row>
    <row r="137" spans="1:5">
      <c r="B137" t="s">
        <v>132</v>
      </c>
      <c r="C137" s="218">
        <v>237</v>
      </c>
      <c r="D137" s="218">
        <v>107.501304</v>
      </c>
      <c r="E137" s="216">
        <v>297.60000000000002</v>
      </c>
    </row>
    <row r="138" spans="1:5">
      <c r="B138" t="s">
        <v>50</v>
      </c>
      <c r="C138" s="218">
        <v>297.24</v>
      </c>
      <c r="D138" s="218">
        <v>134.82568608000003</v>
      </c>
      <c r="E138" s="216">
        <v>1217.92</v>
      </c>
    </row>
    <row r="139" spans="1:5">
      <c r="B139" t="s">
        <v>63</v>
      </c>
      <c r="C139" s="218">
        <v>389.27</v>
      </c>
      <c r="D139" s="218">
        <v>176.56975783999997</v>
      </c>
      <c r="E139" s="216">
        <v>593.12</v>
      </c>
    </row>
    <row r="140" spans="1:5">
      <c r="B140" t="s">
        <v>128</v>
      </c>
      <c r="C140" s="218">
        <v>1170</v>
      </c>
      <c r="D140" s="218">
        <v>530.70263999999997</v>
      </c>
      <c r="E140" s="216">
        <v>2350.34</v>
      </c>
    </row>
    <row r="141" spans="1:5">
      <c r="B141" t="s">
        <v>176</v>
      </c>
      <c r="C141" s="218">
        <v>266</v>
      </c>
      <c r="D141" s="218">
        <v>120.655472</v>
      </c>
      <c r="E141" s="216">
        <v>335.07</v>
      </c>
    </row>
    <row r="142" spans="1:5">
      <c r="B142" t="s">
        <v>38</v>
      </c>
      <c r="C142" s="218">
        <v>883</v>
      </c>
      <c r="D142" s="218">
        <v>400.52173600000009</v>
      </c>
      <c r="E142" s="216">
        <v>3811.0600000000004</v>
      </c>
    </row>
    <row r="143" spans="1:5">
      <c r="B143" t="s">
        <v>118</v>
      </c>
      <c r="C143" s="218">
        <v>2.2000000000000002</v>
      </c>
      <c r="D143" s="218">
        <v>0.99790240000000008</v>
      </c>
      <c r="E143" s="216">
        <v>17.5</v>
      </c>
    </row>
    <row r="144" spans="1:5">
      <c r="A144" t="s">
        <v>2095</v>
      </c>
      <c r="B144"/>
      <c r="C144" s="218">
        <v>85896.150000000009</v>
      </c>
      <c r="D144" s="218">
        <v>38961.806470800009</v>
      </c>
      <c r="E144" s="216">
        <v>107039.50000000003</v>
      </c>
    </row>
    <row r="145" spans="1:5">
      <c r="A145" t="s">
        <v>2078</v>
      </c>
      <c r="B145" t="s">
        <v>96</v>
      </c>
      <c r="C145" s="218">
        <v>33</v>
      </c>
      <c r="D145" s="218">
        <v>14.968536</v>
      </c>
      <c r="E145" s="216">
        <v>2589.5</v>
      </c>
    </row>
    <row r="146" spans="1:5">
      <c r="A146" t="s">
        <v>2096</v>
      </c>
      <c r="B146"/>
      <c r="C146" s="218">
        <v>33</v>
      </c>
      <c r="D146" s="218">
        <v>14.968536</v>
      </c>
      <c r="E146" s="216">
        <v>2589.5</v>
      </c>
    </row>
    <row r="147" spans="1:5">
      <c r="A147" t="s">
        <v>2076</v>
      </c>
      <c r="B147" t="s">
        <v>163</v>
      </c>
      <c r="C147" s="218">
        <v>21</v>
      </c>
      <c r="D147" s="218">
        <v>9.5254320000000003</v>
      </c>
      <c r="E147" s="216">
        <v>840</v>
      </c>
    </row>
    <row r="148" spans="1:5">
      <c r="A148" t="s">
        <v>2097</v>
      </c>
      <c r="B148"/>
      <c r="C148" s="218">
        <v>21</v>
      </c>
      <c r="D148" s="218">
        <v>9.5254320000000003</v>
      </c>
      <c r="E148" s="216">
        <v>840</v>
      </c>
    </row>
    <row r="149" spans="1:5">
      <c r="A149" t="s">
        <v>545</v>
      </c>
      <c r="B149" t="s">
        <v>207</v>
      </c>
      <c r="C149" s="218">
        <v>10</v>
      </c>
      <c r="D149" s="218">
        <v>4.53592</v>
      </c>
      <c r="E149" s="216">
        <v>72</v>
      </c>
    </row>
    <row r="150" spans="1:5">
      <c r="B150" t="s">
        <v>56</v>
      </c>
      <c r="C150" s="218">
        <v>7</v>
      </c>
      <c r="D150" s="218">
        <v>3.175144</v>
      </c>
      <c r="E150" s="216">
        <v>33</v>
      </c>
    </row>
    <row r="151" spans="1:5">
      <c r="B151" t="s">
        <v>59</v>
      </c>
      <c r="C151" s="218">
        <v>7</v>
      </c>
      <c r="D151" s="218">
        <v>3.175144</v>
      </c>
      <c r="E151" s="216">
        <v>31.5</v>
      </c>
    </row>
    <row r="152" spans="1:5">
      <c r="B152" t="s">
        <v>76</v>
      </c>
      <c r="C152" s="218">
        <v>75</v>
      </c>
      <c r="D152" s="218">
        <v>34.019399999999997</v>
      </c>
      <c r="E152" s="216">
        <v>115.5</v>
      </c>
    </row>
    <row r="153" spans="1:5">
      <c r="A153" t="s">
        <v>2098</v>
      </c>
      <c r="B153"/>
      <c r="C153" s="218">
        <v>99</v>
      </c>
      <c r="D153" s="218">
        <v>44.905608000000001</v>
      </c>
      <c r="E153" s="216">
        <v>252</v>
      </c>
    </row>
    <row r="154" spans="1:5">
      <c r="A154" t="s">
        <v>547</v>
      </c>
      <c r="B154" t="s">
        <v>90</v>
      </c>
      <c r="C154" s="218">
        <v>143</v>
      </c>
      <c r="D154" s="218">
        <v>64.863656000000006</v>
      </c>
      <c r="E154" s="216">
        <v>1009.36</v>
      </c>
    </row>
    <row r="155" spans="1:5">
      <c r="B155" t="s">
        <v>26</v>
      </c>
      <c r="C155" s="218">
        <v>99</v>
      </c>
      <c r="D155" s="218">
        <v>44.905608000000001</v>
      </c>
      <c r="E155" s="216">
        <v>1009.36</v>
      </c>
    </row>
    <row r="156" spans="1:5">
      <c r="A156" t="s">
        <v>2099</v>
      </c>
      <c r="B156"/>
      <c r="C156" s="218">
        <v>242</v>
      </c>
      <c r="D156" s="218">
        <v>109.76926400000001</v>
      </c>
      <c r="E156" s="216">
        <v>2018.72</v>
      </c>
    </row>
    <row r="157" spans="1:5">
      <c r="A157" t="s">
        <v>546</v>
      </c>
      <c r="B157" t="s">
        <v>95</v>
      </c>
      <c r="C157" s="218">
        <v>10</v>
      </c>
      <c r="D157" s="218">
        <v>4.53592</v>
      </c>
      <c r="E157" s="216">
        <v>26</v>
      </c>
    </row>
    <row r="158" spans="1:5">
      <c r="B158" t="s">
        <v>121</v>
      </c>
      <c r="C158" s="218">
        <v>24385.4</v>
      </c>
      <c r="D158" s="218">
        <v>11061.022356799998</v>
      </c>
      <c r="E158" s="216">
        <v>35249.33</v>
      </c>
    </row>
    <row r="159" spans="1:5">
      <c r="B159" t="s">
        <v>248</v>
      </c>
      <c r="C159" s="218">
        <v>558</v>
      </c>
      <c r="D159" s="218">
        <v>253.10433600000002</v>
      </c>
      <c r="E159" s="216">
        <v>1250.78</v>
      </c>
    </row>
    <row r="160" spans="1:5">
      <c r="B160" t="s">
        <v>15</v>
      </c>
      <c r="C160" s="218">
        <v>4499</v>
      </c>
      <c r="D160" s="218">
        <v>2040.7104079999999</v>
      </c>
      <c r="E160" s="216">
        <v>17740.740000000002</v>
      </c>
    </row>
    <row r="161" spans="2:5">
      <c r="B161" t="s">
        <v>67</v>
      </c>
      <c r="C161" s="218">
        <v>5293</v>
      </c>
      <c r="D161" s="218">
        <v>2400.8624560000003</v>
      </c>
      <c r="E161" s="216">
        <v>11671.36</v>
      </c>
    </row>
    <row r="162" spans="2:5">
      <c r="B162" t="s">
        <v>151</v>
      </c>
      <c r="C162" s="218">
        <v>107560</v>
      </c>
      <c r="D162" s="218">
        <v>48788.355519999997</v>
      </c>
      <c r="E162" s="216">
        <v>66320.639999999999</v>
      </c>
    </row>
    <row r="163" spans="2:5">
      <c r="B163" t="s">
        <v>100</v>
      </c>
      <c r="C163" s="218">
        <v>3.96</v>
      </c>
      <c r="D163" s="218">
        <v>1.7962243199999999</v>
      </c>
      <c r="E163" s="216">
        <v>156.25</v>
      </c>
    </row>
    <row r="164" spans="2:5">
      <c r="B164" t="s">
        <v>17</v>
      </c>
      <c r="C164" s="218">
        <v>434</v>
      </c>
      <c r="D164" s="218">
        <v>196.85892799999996</v>
      </c>
      <c r="E164" s="216">
        <v>810.7399999999999</v>
      </c>
    </row>
    <row r="165" spans="2:5">
      <c r="B165" t="s">
        <v>124</v>
      </c>
      <c r="C165" s="218">
        <v>1525</v>
      </c>
      <c r="D165" s="218">
        <v>691.7278</v>
      </c>
      <c r="E165" s="216">
        <v>1423.1000000000001</v>
      </c>
    </row>
    <row r="166" spans="2:5">
      <c r="B166" t="s">
        <v>69</v>
      </c>
      <c r="C166" s="218">
        <v>414</v>
      </c>
      <c r="D166" s="218">
        <v>187.78708799999998</v>
      </c>
      <c r="E166" s="216">
        <v>3796.75</v>
      </c>
    </row>
    <row r="167" spans="2:5">
      <c r="B167" t="s">
        <v>86</v>
      </c>
      <c r="C167" s="218">
        <v>4.5</v>
      </c>
      <c r="D167" s="218">
        <v>2.0411640000000002</v>
      </c>
      <c r="E167" s="216">
        <v>1326.25</v>
      </c>
    </row>
    <row r="168" spans="2:5">
      <c r="B168" t="s">
        <v>90</v>
      </c>
      <c r="C168" s="218">
        <v>72</v>
      </c>
      <c r="D168" s="218">
        <v>32.658624000000003</v>
      </c>
      <c r="E168" s="216">
        <v>818.3</v>
      </c>
    </row>
    <row r="169" spans="2:5">
      <c r="B169" t="s">
        <v>148</v>
      </c>
      <c r="C169" s="218">
        <v>4270</v>
      </c>
      <c r="D169" s="218">
        <v>1936.8378400000011</v>
      </c>
      <c r="E169" s="216">
        <v>18289.759999999998</v>
      </c>
    </row>
    <row r="170" spans="2:5">
      <c r="B170" t="s">
        <v>19</v>
      </c>
      <c r="C170" s="218">
        <v>21311.200000000001</v>
      </c>
      <c r="D170" s="218">
        <v>9666.5898304000057</v>
      </c>
      <c r="E170" s="216">
        <v>54848.290000000008</v>
      </c>
    </row>
    <row r="171" spans="2:5">
      <c r="B171" t="s">
        <v>21</v>
      </c>
      <c r="C171" s="218">
        <v>1526</v>
      </c>
      <c r="D171" s="218">
        <v>692.18139200000007</v>
      </c>
      <c r="E171" s="216">
        <v>3404.51</v>
      </c>
    </row>
    <row r="172" spans="2:5">
      <c r="B172" t="s">
        <v>82</v>
      </c>
      <c r="C172" s="218">
        <v>83358</v>
      </c>
      <c r="D172" s="218">
        <v>37810.521936000005</v>
      </c>
      <c r="E172" s="216">
        <v>83048.649999999994</v>
      </c>
    </row>
    <row r="173" spans="2:5">
      <c r="B173" t="s">
        <v>157</v>
      </c>
      <c r="C173" s="218">
        <v>25684</v>
      </c>
      <c r="D173" s="218">
        <v>11650.056927999998</v>
      </c>
      <c r="E173" s="216">
        <v>33364.54</v>
      </c>
    </row>
    <row r="174" spans="2:5">
      <c r="B174" t="s">
        <v>40</v>
      </c>
      <c r="C174" s="218">
        <v>41807.5</v>
      </c>
      <c r="D174" s="218">
        <v>18963.54754</v>
      </c>
      <c r="E174" s="216">
        <v>26833.580000000005</v>
      </c>
    </row>
    <row r="175" spans="2:5">
      <c r="B175" t="s">
        <v>79</v>
      </c>
      <c r="C175" s="218">
        <v>3589</v>
      </c>
      <c r="D175" s="218">
        <v>1627.9416879999994</v>
      </c>
      <c r="E175" s="216">
        <v>6438.09</v>
      </c>
    </row>
    <row r="176" spans="2:5">
      <c r="B176" t="s">
        <v>56</v>
      </c>
      <c r="C176" s="218">
        <v>19841.400000000001</v>
      </c>
      <c r="D176" s="218">
        <v>8999.9003088000027</v>
      </c>
      <c r="E176" s="216">
        <v>14626.62</v>
      </c>
    </row>
    <row r="177" spans="2:5">
      <c r="B177" t="s">
        <v>189</v>
      </c>
      <c r="C177" s="218">
        <v>65</v>
      </c>
      <c r="D177" s="218">
        <v>29.48348</v>
      </c>
      <c r="E177" s="216">
        <v>261</v>
      </c>
    </row>
    <row r="178" spans="2:5">
      <c r="B178" t="s">
        <v>98</v>
      </c>
      <c r="C178" s="218">
        <v>30</v>
      </c>
      <c r="D178" s="218">
        <v>13.607759999999999</v>
      </c>
      <c r="E178" s="216">
        <v>93</v>
      </c>
    </row>
    <row r="179" spans="2:5">
      <c r="B179" t="s">
        <v>33</v>
      </c>
      <c r="C179" s="218">
        <v>10.4</v>
      </c>
      <c r="D179" s="218">
        <v>4.7173568000000001</v>
      </c>
      <c r="E179" s="216">
        <v>155.5</v>
      </c>
    </row>
    <row r="180" spans="2:5">
      <c r="B180" t="s">
        <v>194</v>
      </c>
      <c r="C180" s="218">
        <v>20</v>
      </c>
      <c r="D180" s="218">
        <v>9.0718399999999999</v>
      </c>
      <c r="E180" s="216">
        <v>125</v>
      </c>
    </row>
    <row r="181" spans="2:5">
      <c r="B181" t="s">
        <v>47</v>
      </c>
      <c r="C181" s="218">
        <v>313</v>
      </c>
      <c r="D181" s="218">
        <v>141.97429600000001</v>
      </c>
      <c r="E181" s="216">
        <v>1371.97</v>
      </c>
    </row>
    <row r="182" spans="2:5">
      <c r="B182" t="s">
        <v>179</v>
      </c>
      <c r="C182" s="218">
        <v>40</v>
      </c>
      <c r="D182" s="218">
        <v>18.14368</v>
      </c>
      <c r="E182" s="216">
        <v>31.29</v>
      </c>
    </row>
    <row r="183" spans="2:5">
      <c r="B183" t="s">
        <v>109</v>
      </c>
      <c r="C183" s="218">
        <v>708</v>
      </c>
      <c r="D183" s="218">
        <v>321.14313600000003</v>
      </c>
      <c r="E183" s="216">
        <v>1081.27</v>
      </c>
    </row>
    <row r="184" spans="2:5">
      <c r="B184" t="s">
        <v>26</v>
      </c>
      <c r="C184" s="218">
        <v>1176</v>
      </c>
      <c r="D184" s="218">
        <v>533.42419199999995</v>
      </c>
      <c r="E184" s="216">
        <v>2330.44</v>
      </c>
    </row>
    <row r="185" spans="2:5">
      <c r="B185" t="s">
        <v>23</v>
      </c>
      <c r="C185" s="218">
        <v>4586</v>
      </c>
      <c r="D185" s="218">
        <v>2080.172912</v>
      </c>
      <c r="E185" s="216">
        <v>4554.12</v>
      </c>
    </row>
    <row r="186" spans="2:5">
      <c r="B186" t="s">
        <v>165</v>
      </c>
      <c r="C186" s="218">
        <v>11</v>
      </c>
      <c r="D186" s="218">
        <v>4.9895119999999995</v>
      </c>
      <c r="E186" s="216">
        <v>58.5</v>
      </c>
    </row>
    <row r="187" spans="2:5">
      <c r="B187" t="s">
        <v>104</v>
      </c>
      <c r="C187" s="218">
        <v>1.4</v>
      </c>
      <c r="D187" s="218">
        <v>0.63502879999999995</v>
      </c>
      <c r="E187" s="216">
        <v>73.75</v>
      </c>
    </row>
    <row r="188" spans="2:5">
      <c r="B188" t="s">
        <v>84</v>
      </c>
      <c r="C188" s="218">
        <v>400</v>
      </c>
      <c r="D188" s="218">
        <v>181.43679999999998</v>
      </c>
      <c r="E188" s="216">
        <v>574</v>
      </c>
    </row>
    <row r="189" spans="2:5">
      <c r="B189" t="s">
        <v>93</v>
      </c>
      <c r="C189" s="218">
        <v>11</v>
      </c>
      <c r="D189" s="218">
        <v>4.9895119999999995</v>
      </c>
      <c r="E189" s="216">
        <v>73.900000000000006</v>
      </c>
    </row>
    <row r="190" spans="2:5">
      <c r="B190" t="s">
        <v>183</v>
      </c>
      <c r="C190" s="218">
        <v>362</v>
      </c>
      <c r="D190" s="218">
        <v>164.20030399999999</v>
      </c>
      <c r="E190" s="216">
        <v>461.18000000000006</v>
      </c>
    </row>
    <row r="191" spans="2:5">
      <c r="B191" t="s">
        <v>281</v>
      </c>
      <c r="C191" s="218">
        <v>1</v>
      </c>
      <c r="D191" s="218">
        <v>0.453592</v>
      </c>
      <c r="E191" s="216">
        <v>72.8</v>
      </c>
    </row>
    <row r="192" spans="2:5">
      <c r="B192" t="s">
        <v>107</v>
      </c>
      <c r="C192" s="218">
        <v>59.5</v>
      </c>
      <c r="D192" s="218">
        <v>26.988724000000001</v>
      </c>
      <c r="E192" s="216">
        <v>987.05</v>
      </c>
    </row>
    <row r="193" spans="2:5">
      <c r="B193" t="s">
        <v>96</v>
      </c>
      <c r="C193" s="218">
        <v>2350</v>
      </c>
      <c r="D193" s="218">
        <v>1065.9412000000002</v>
      </c>
      <c r="E193" s="216">
        <v>9697.7100000000009</v>
      </c>
    </row>
    <row r="194" spans="2:5">
      <c r="B194" t="s">
        <v>163</v>
      </c>
      <c r="C194" s="218">
        <v>5790</v>
      </c>
      <c r="D194" s="218">
        <v>2626.2976799999997</v>
      </c>
      <c r="E194" s="216">
        <v>10486.85</v>
      </c>
    </row>
    <row r="195" spans="2:5">
      <c r="B195" t="s">
        <v>167</v>
      </c>
      <c r="C195" s="218">
        <v>5.5</v>
      </c>
      <c r="D195" s="218">
        <v>2.4947560000000002</v>
      </c>
      <c r="E195" s="216">
        <v>70.5</v>
      </c>
    </row>
    <row r="196" spans="2:5">
      <c r="B196" t="s">
        <v>143</v>
      </c>
      <c r="C196" s="218">
        <v>7586</v>
      </c>
      <c r="D196" s="218">
        <v>3440.9489119999998</v>
      </c>
      <c r="E196" s="216">
        <v>11741.18</v>
      </c>
    </row>
    <row r="197" spans="2:5">
      <c r="B197" t="s">
        <v>71</v>
      </c>
      <c r="C197" s="218">
        <v>43271</v>
      </c>
      <c r="D197" s="218">
        <v>19627.379431999998</v>
      </c>
      <c r="E197" s="216">
        <v>115254.20000000001</v>
      </c>
    </row>
    <row r="198" spans="2:5">
      <c r="B198" t="s">
        <v>158</v>
      </c>
      <c r="C198" s="218">
        <v>19087</v>
      </c>
      <c r="D198" s="218">
        <v>8657.7105039999988</v>
      </c>
      <c r="E198" s="216">
        <v>20102.449999999997</v>
      </c>
    </row>
    <row r="199" spans="2:5">
      <c r="B199" t="s">
        <v>190</v>
      </c>
      <c r="C199" s="218">
        <v>35</v>
      </c>
      <c r="D199" s="218">
        <v>15.875719999999999</v>
      </c>
      <c r="E199" s="216">
        <v>24.5</v>
      </c>
    </row>
    <row r="200" spans="2:5">
      <c r="B200" t="s">
        <v>87</v>
      </c>
      <c r="C200" s="218">
        <v>3136.5</v>
      </c>
      <c r="D200" s="218">
        <v>1422.6913079999999</v>
      </c>
      <c r="E200" s="216">
        <v>4955.4299999999985</v>
      </c>
    </row>
    <row r="201" spans="2:5">
      <c r="B201" t="s">
        <v>139</v>
      </c>
      <c r="C201" s="218">
        <v>4852</v>
      </c>
      <c r="D201" s="218">
        <v>2200.8283840000004</v>
      </c>
      <c r="E201" s="216">
        <v>16307.919999999998</v>
      </c>
    </row>
    <row r="202" spans="2:5">
      <c r="B202" t="s">
        <v>58</v>
      </c>
      <c r="C202" s="218">
        <v>15608</v>
      </c>
      <c r="D202" s="218">
        <v>7079.6639360000017</v>
      </c>
      <c r="E202" s="216">
        <v>21886.49</v>
      </c>
    </row>
    <row r="203" spans="2:5">
      <c r="B203" t="s">
        <v>137</v>
      </c>
      <c r="C203" s="218">
        <v>18636</v>
      </c>
      <c r="D203" s="218">
        <v>8453.1405120000018</v>
      </c>
      <c r="E203" s="216">
        <v>31758.35</v>
      </c>
    </row>
    <row r="204" spans="2:5">
      <c r="B204" t="s">
        <v>59</v>
      </c>
      <c r="C204" s="218">
        <v>77650.7</v>
      </c>
      <c r="D204" s="218">
        <v>35221.736314399997</v>
      </c>
      <c r="E204" s="216">
        <v>99161.299999999974</v>
      </c>
    </row>
    <row r="205" spans="2:5">
      <c r="B205" t="s">
        <v>147</v>
      </c>
      <c r="C205" s="218">
        <v>4274.3999999999996</v>
      </c>
      <c r="D205" s="218">
        <v>1938.8336448</v>
      </c>
      <c r="E205" s="216">
        <v>4385.71</v>
      </c>
    </row>
    <row r="206" spans="2:5">
      <c r="B206" t="s">
        <v>177</v>
      </c>
      <c r="C206" s="218">
        <v>40</v>
      </c>
      <c r="D206" s="218">
        <v>18.14368</v>
      </c>
      <c r="E206" s="216">
        <v>60</v>
      </c>
    </row>
    <row r="207" spans="2:5">
      <c r="B207" t="s">
        <v>130</v>
      </c>
      <c r="C207" s="218">
        <v>23850</v>
      </c>
      <c r="D207" s="218">
        <v>10818.1692</v>
      </c>
      <c r="E207" s="216">
        <v>43325.739999999991</v>
      </c>
    </row>
    <row r="208" spans="2:5">
      <c r="B208" t="s">
        <v>48</v>
      </c>
      <c r="C208" s="218">
        <v>7551.8</v>
      </c>
      <c r="D208" s="218">
        <v>3425.4360656000003</v>
      </c>
      <c r="E208" s="216">
        <v>19388.239999999998</v>
      </c>
    </row>
    <row r="209" spans="2:5">
      <c r="B209" t="s">
        <v>228</v>
      </c>
      <c r="C209" s="218">
        <v>1500</v>
      </c>
      <c r="D209" s="218">
        <v>680.38800000000003</v>
      </c>
      <c r="E209" s="216">
        <v>1200</v>
      </c>
    </row>
    <row r="210" spans="2:5">
      <c r="B210" t="s">
        <v>101</v>
      </c>
      <c r="C210" s="218">
        <v>13.040000000000001</v>
      </c>
      <c r="D210" s="218">
        <v>5.91483968</v>
      </c>
      <c r="E210" s="216">
        <v>370.95</v>
      </c>
    </row>
    <row r="211" spans="2:5">
      <c r="B211" t="s">
        <v>36</v>
      </c>
      <c r="C211" s="218">
        <v>4344.25</v>
      </c>
      <c r="D211" s="218">
        <v>1970.5170459999995</v>
      </c>
      <c r="E211" s="216">
        <v>15044.250000000002</v>
      </c>
    </row>
    <row r="212" spans="2:5">
      <c r="B212" t="s">
        <v>76</v>
      </c>
      <c r="C212" s="218">
        <v>11419.75</v>
      </c>
      <c r="D212" s="218">
        <v>5179.9072419999993</v>
      </c>
      <c r="E212" s="216">
        <v>21246.69</v>
      </c>
    </row>
    <row r="213" spans="2:5">
      <c r="B213" t="s">
        <v>43</v>
      </c>
      <c r="C213" s="218">
        <v>15797</v>
      </c>
      <c r="D213" s="218">
        <v>7165.3928240000005</v>
      </c>
      <c r="E213" s="216">
        <v>26931.41</v>
      </c>
    </row>
    <row r="214" spans="2:5">
      <c r="B214" t="s">
        <v>105</v>
      </c>
      <c r="C214" s="218">
        <v>0.84</v>
      </c>
      <c r="D214" s="218">
        <v>0.38101727999999996</v>
      </c>
      <c r="E214" s="216">
        <v>44.25</v>
      </c>
    </row>
    <row r="215" spans="2:5">
      <c r="B215" t="s">
        <v>73</v>
      </c>
      <c r="C215" s="218">
        <v>260</v>
      </c>
      <c r="D215" s="218">
        <v>117.93392</v>
      </c>
      <c r="E215" s="216">
        <v>888</v>
      </c>
    </row>
    <row r="216" spans="2:5">
      <c r="B216" t="s">
        <v>102</v>
      </c>
      <c r="C216" s="218">
        <v>658.7</v>
      </c>
      <c r="D216" s="218">
        <v>298.78105039999997</v>
      </c>
      <c r="E216" s="216">
        <v>1374.07</v>
      </c>
    </row>
    <row r="217" spans="2:5">
      <c r="B217" t="s">
        <v>246</v>
      </c>
      <c r="C217" s="218">
        <v>240</v>
      </c>
      <c r="D217" s="218">
        <v>108.86208000000001</v>
      </c>
      <c r="E217" s="216">
        <v>582.67000000000007</v>
      </c>
    </row>
    <row r="218" spans="2:5">
      <c r="B218" t="s">
        <v>191</v>
      </c>
      <c r="C218" s="218">
        <v>820</v>
      </c>
      <c r="D218" s="218">
        <v>371.94543999999996</v>
      </c>
      <c r="E218" s="216">
        <v>1755.8600000000001</v>
      </c>
    </row>
    <row r="219" spans="2:5">
      <c r="B219" t="s">
        <v>154</v>
      </c>
      <c r="C219" s="218">
        <v>5251</v>
      </c>
      <c r="D219" s="218">
        <v>2381.8115919999991</v>
      </c>
      <c r="E219" s="216">
        <v>7226.1099999999988</v>
      </c>
    </row>
    <row r="220" spans="2:5">
      <c r="B220" t="s">
        <v>169</v>
      </c>
      <c r="C220" s="218">
        <v>740</v>
      </c>
      <c r="D220" s="218">
        <v>335.65807999999993</v>
      </c>
      <c r="E220" s="216">
        <v>2772.46</v>
      </c>
    </row>
    <row r="221" spans="2:5">
      <c r="B221" t="s">
        <v>61</v>
      </c>
      <c r="C221" s="218">
        <v>6801.5</v>
      </c>
      <c r="D221" s="218">
        <v>3085.1059879999998</v>
      </c>
      <c r="E221" s="216">
        <v>15699</v>
      </c>
    </row>
    <row r="222" spans="2:5">
      <c r="B222" t="s">
        <v>81</v>
      </c>
      <c r="C222" s="218">
        <v>16334</v>
      </c>
      <c r="D222" s="218">
        <v>7408.9717279999995</v>
      </c>
      <c r="E222" s="216">
        <v>30249.770000000004</v>
      </c>
    </row>
    <row r="223" spans="2:5">
      <c r="B223" t="s">
        <v>119</v>
      </c>
      <c r="C223" s="218">
        <v>1440</v>
      </c>
      <c r="D223" s="218">
        <v>653.17247999999995</v>
      </c>
      <c r="E223" s="216">
        <v>3030</v>
      </c>
    </row>
    <row r="224" spans="2:5">
      <c r="B224" t="s">
        <v>267</v>
      </c>
      <c r="C224" s="218">
        <v>1.9</v>
      </c>
      <c r="D224" s="218">
        <v>0.86182479999999995</v>
      </c>
      <c r="E224" s="216">
        <v>88.9</v>
      </c>
    </row>
    <row r="225" spans="2:5">
      <c r="B225" t="s">
        <v>159</v>
      </c>
      <c r="C225" s="218">
        <v>11300</v>
      </c>
      <c r="D225" s="218">
        <v>5125.5896000000002</v>
      </c>
      <c r="E225" s="216">
        <v>22628.799999999999</v>
      </c>
    </row>
    <row r="226" spans="2:5">
      <c r="B226" t="s">
        <v>217</v>
      </c>
      <c r="C226" s="218">
        <v>120</v>
      </c>
      <c r="D226" s="218">
        <v>54.431039999999996</v>
      </c>
      <c r="E226" s="216">
        <v>163.42000000000002</v>
      </c>
    </row>
    <row r="227" spans="2:5">
      <c r="B227" t="s">
        <v>171</v>
      </c>
      <c r="C227" s="218">
        <v>56</v>
      </c>
      <c r="D227" s="218">
        <v>25.401152</v>
      </c>
      <c r="E227" s="216">
        <v>86.5</v>
      </c>
    </row>
    <row r="228" spans="2:5">
      <c r="B228" t="s">
        <v>173</v>
      </c>
      <c r="C228" s="218">
        <v>3523</v>
      </c>
      <c r="D228" s="218">
        <v>1598.0046159999999</v>
      </c>
      <c r="E228" s="216">
        <v>7813.92</v>
      </c>
    </row>
    <row r="229" spans="2:5">
      <c r="B229" t="s">
        <v>141</v>
      </c>
      <c r="C229" s="218">
        <v>73577</v>
      </c>
      <c r="D229" s="218">
        <v>33373.938584000003</v>
      </c>
      <c r="E229" s="216">
        <v>33168.21</v>
      </c>
    </row>
    <row r="230" spans="2:5">
      <c r="B230" t="s">
        <v>54</v>
      </c>
      <c r="C230" s="218">
        <v>4070.5</v>
      </c>
      <c r="D230" s="218">
        <v>1846.3462360000001</v>
      </c>
      <c r="E230" s="216">
        <v>3829.7400000000002</v>
      </c>
    </row>
    <row r="231" spans="2:5">
      <c r="B231" t="s">
        <v>29</v>
      </c>
      <c r="C231" s="218">
        <v>10</v>
      </c>
      <c r="D231" s="218">
        <v>4.53592</v>
      </c>
      <c r="E231" s="216">
        <v>28</v>
      </c>
    </row>
    <row r="232" spans="2:5">
      <c r="B232" t="s">
        <v>75</v>
      </c>
      <c r="C232" s="218">
        <v>157.5</v>
      </c>
      <c r="D232" s="218">
        <v>71.440740000000005</v>
      </c>
      <c r="E232" s="216">
        <v>1275</v>
      </c>
    </row>
    <row r="233" spans="2:5">
      <c r="B233" t="s">
        <v>42</v>
      </c>
      <c r="C233" s="218">
        <v>33.76</v>
      </c>
      <c r="D233" s="218">
        <v>15.313265919999999</v>
      </c>
      <c r="E233" s="216">
        <v>739.94999999999993</v>
      </c>
    </row>
    <row r="234" spans="2:5">
      <c r="B234" t="s">
        <v>106</v>
      </c>
      <c r="C234" s="218">
        <v>0.84</v>
      </c>
      <c r="D234" s="218">
        <v>0.38101727999999996</v>
      </c>
      <c r="E234" s="216">
        <v>44.25</v>
      </c>
    </row>
    <row r="235" spans="2:5">
      <c r="B235" t="s">
        <v>193</v>
      </c>
      <c r="C235" s="218">
        <v>30</v>
      </c>
      <c r="D235" s="218">
        <v>13.607759999999999</v>
      </c>
      <c r="E235" s="216">
        <v>100</v>
      </c>
    </row>
    <row r="236" spans="2:5">
      <c r="B236" t="s">
        <v>50</v>
      </c>
      <c r="C236" s="218">
        <v>1830.5</v>
      </c>
      <c r="D236" s="218">
        <v>830.30015600000013</v>
      </c>
      <c r="E236" s="216">
        <v>5403.65</v>
      </c>
    </row>
    <row r="237" spans="2:5">
      <c r="B237" t="s">
        <v>63</v>
      </c>
      <c r="C237" s="218">
        <v>6194</v>
      </c>
      <c r="D237" s="218">
        <v>2809.5488479999999</v>
      </c>
      <c r="E237" s="216">
        <v>5320.14</v>
      </c>
    </row>
    <row r="238" spans="2:5">
      <c r="B238" t="s">
        <v>65</v>
      </c>
      <c r="C238" s="218">
        <v>824</v>
      </c>
      <c r="D238" s="218">
        <v>373.75980800000002</v>
      </c>
      <c r="E238" s="216">
        <v>3362.5</v>
      </c>
    </row>
    <row r="239" spans="2:5">
      <c r="B239" t="s">
        <v>83</v>
      </c>
      <c r="C239" s="218">
        <v>1544</v>
      </c>
      <c r="D239" s="218">
        <v>700.34604799999977</v>
      </c>
      <c r="E239" s="216">
        <v>2391.29</v>
      </c>
    </row>
    <row r="240" spans="2:5">
      <c r="B240" t="s">
        <v>128</v>
      </c>
      <c r="C240" s="218">
        <v>6181</v>
      </c>
      <c r="D240" s="218">
        <v>2803.6521520000006</v>
      </c>
      <c r="E240" s="216">
        <v>10449.660000000002</v>
      </c>
    </row>
    <row r="241" spans="1:5">
      <c r="B241" t="s">
        <v>175</v>
      </c>
      <c r="C241" s="218">
        <v>16</v>
      </c>
      <c r="D241" s="218">
        <v>7.2574719999999999</v>
      </c>
      <c r="E241" s="216">
        <v>69.25</v>
      </c>
    </row>
    <row r="242" spans="1:5">
      <c r="B242" t="s">
        <v>176</v>
      </c>
      <c r="C242" s="218">
        <v>164</v>
      </c>
      <c r="D242" s="218">
        <v>74.389087999999987</v>
      </c>
      <c r="E242" s="216">
        <v>296.5</v>
      </c>
    </row>
    <row r="243" spans="1:5">
      <c r="B243" t="s">
        <v>184</v>
      </c>
      <c r="C243" s="218">
        <v>744</v>
      </c>
      <c r="D243" s="218">
        <v>337.47244799999999</v>
      </c>
      <c r="E243" s="216">
        <v>2231.84</v>
      </c>
    </row>
    <row r="244" spans="1:5">
      <c r="B244" t="s">
        <v>53</v>
      </c>
      <c r="C244" s="218">
        <v>1</v>
      </c>
      <c r="D244" s="218">
        <v>0.453592</v>
      </c>
      <c r="E244" s="216">
        <v>11.2</v>
      </c>
    </row>
    <row r="245" spans="1:5">
      <c r="B245" t="s">
        <v>35</v>
      </c>
      <c r="C245" s="218">
        <v>3</v>
      </c>
      <c r="D245" s="218">
        <v>1.360776</v>
      </c>
      <c r="E245" s="216">
        <v>33.599999999999994</v>
      </c>
    </row>
    <row r="246" spans="1:5">
      <c r="B246" t="s">
        <v>31</v>
      </c>
      <c r="C246" s="218">
        <v>8.64</v>
      </c>
      <c r="D246" s="218">
        <v>3.9190348799999999</v>
      </c>
      <c r="E246" s="216">
        <v>226.75</v>
      </c>
    </row>
    <row r="247" spans="1:5">
      <c r="B247" t="s">
        <v>103</v>
      </c>
      <c r="C247" s="218">
        <v>6</v>
      </c>
      <c r="D247" s="218">
        <v>2.721552</v>
      </c>
      <c r="E247" s="216">
        <v>153</v>
      </c>
    </row>
    <row r="248" spans="1:5">
      <c r="B248" t="s">
        <v>280</v>
      </c>
      <c r="C248" s="218">
        <v>5</v>
      </c>
      <c r="D248" s="218">
        <v>2.26796</v>
      </c>
      <c r="E248" s="216">
        <v>35</v>
      </c>
    </row>
    <row r="249" spans="1:5">
      <c r="B249" t="s">
        <v>146</v>
      </c>
      <c r="C249" s="218">
        <v>90</v>
      </c>
      <c r="D249" s="218">
        <v>40.823279999999997</v>
      </c>
      <c r="E249" s="216">
        <v>162.87</v>
      </c>
    </row>
    <row r="250" spans="1:5">
      <c r="B250" t="s">
        <v>38</v>
      </c>
      <c r="C250" s="218">
        <v>31409.66</v>
      </c>
      <c r="D250" s="218">
        <v>14247.170498719999</v>
      </c>
      <c r="E250" s="216">
        <v>52861.790000000008</v>
      </c>
    </row>
    <row r="251" spans="1:5">
      <c r="B251" t="s">
        <v>52</v>
      </c>
      <c r="C251" s="218">
        <v>127</v>
      </c>
      <c r="D251" s="218">
        <v>57.606183999999999</v>
      </c>
      <c r="E251" s="216">
        <v>154.31</v>
      </c>
    </row>
    <row r="252" spans="1:5">
      <c r="B252" t="s">
        <v>118</v>
      </c>
      <c r="C252" s="218">
        <v>8</v>
      </c>
      <c r="D252" s="218">
        <v>3.628736</v>
      </c>
      <c r="E252" s="216">
        <v>120</v>
      </c>
    </row>
    <row r="253" spans="1:5">
      <c r="B253" t="s">
        <v>161</v>
      </c>
      <c r="C253" s="218">
        <v>41739.800000000003</v>
      </c>
      <c r="D253" s="218">
        <v>18932.839361600003</v>
      </c>
      <c r="E253" s="216">
        <v>25365.11</v>
      </c>
    </row>
    <row r="254" spans="1:5">
      <c r="B254" t="s">
        <v>135</v>
      </c>
      <c r="C254" s="218">
        <v>5217</v>
      </c>
      <c r="D254" s="218">
        <v>2366.3894639999999</v>
      </c>
      <c r="E254" s="216">
        <v>8074.6399999999994</v>
      </c>
    </row>
    <row r="255" spans="1:5">
      <c r="B255" t="s">
        <v>196</v>
      </c>
      <c r="C255" s="218">
        <v>40</v>
      </c>
      <c r="D255" s="218">
        <v>18.14368</v>
      </c>
      <c r="E255" s="216">
        <v>23</v>
      </c>
    </row>
    <row r="256" spans="1:5">
      <c r="A256" t="s">
        <v>2100</v>
      </c>
      <c r="B256"/>
      <c r="C256" s="218">
        <v>842317.3400000002</v>
      </c>
      <c r="D256" s="218">
        <v>382068.40688527987</v>
      </c>
      <c r="E256" s="216">
        <v>1117483.8999999999</v>
      </c>
    </row>
    <row r="257" spans="1:5">
      <c r="A257" t="s">
        <v>532</v>
      </c>
      <c r="B257"/>
      <c r="C257" s="218">
        <v>1148121.99</v>
      </c>
      <c r="D257" s="218">
        <v>520778.94968807983</v>
      </c>
      <c r="E257" s="216">
        <v>1671787.13</v>
      </c>
    </row>
    <row r="258" spans="1:5">
      <c r="B258"/>
      <c r="C258"/>
    </row>
    <row r="259" spans="1:5">
      <c r="B259"/>
      <c r="C259"/>
    </row>
    <row r="260" spans="1:5">
      <c r="B260"/>
      <c r="C260"/>
    </row>
    <row r="261" spans="1:5">
      <c r="B261"/>
      <c r="C261"/>
    </row>
    <row r="262" spans="1:5">
      <c r="B262"/>
      <c r="C262"/>
    </row>
    <row r="263" spans="1:5">
      <c r="B263"/>
      <c r="C263"/>
    </row>
    <row r="264" spans="1:5">
      <c r="B264"/>
      <c r="C264"/>
    </row>
    <row r="265" spans="1:5">
      <c r="B265"/>
      <c r="C265"/>
    </row>
    <row r="266" spans="1:5">
      <c r="B266"/>
      <c r="C266"/>
    </row>
    <row r="267" spans="1:5">
      <c r="B267"/>
      <c r="C267"/>
    </row>
    <row r="268" spans="1:5">
      <c r="B268"/>
      <c r="C268"/>
    </row>
    <row r="269" spans="1:5">
      <c r="B269"/>
      <c r="C269"/>
    </row>
    <row r="270" spans="1:5">
      <c r="B270"/>
      <c r="C270"/>
    </row>
    <row r="271" spans="1:5">
      <c r="B271"/>
      <c r="C271"/>
    </row>
    <row r="272" spans="1:5">
      <c r="B272"/>
      <c r="C272"/>
    </row>
    <row r="273" spans="2:3">
      <c r="B273"/>
      <c r="C273"/>
    </row>
    <row r="274" spans="2:3">
      <c r="B274"/>
      <c r="C274"/>
    </row>
    <row r="275" spans="2:3">
      <c r="B275"/>
      <c r="C275"/>
    </row>
    <row r="276" spans="2:3">
      <c r="B276"/>
      <c r="C276"/>
    </row>
    <row r="277" spans="2:3">
      <c r="B277"/>
      <c r="C277"/>
    </row>
    <row r="278" spans="2:3">
      <c r="B278"/>
      <c r="C278"/>
    </row>
    <row r="279" spans="2:3">
      <c r="B279"/>
      <c r="C279"/>
    </row>
    <row r="280" spans="2:3">
      <c r="B280"/>
      <c r="C280"/>
    </row>
    <row r="281" spans="2:3">
      <c r="B281"/>
      <c r="C281"/>
    </row>
    <row r="282" spans="2:3">
      <c r="B282"/>
      <c r="C282"/>
    </row>
    <row r="283" spans="2:3">
      <c r="B283"/>
      <c r="C283"/>
    </row>
    <row r="284" spans="2:3">
      <c r="B284"/>
      <c r="C284"/>
    </row>
    <row r="285" spans="2:3">
      <c r="B285"/>
      <c r="C285"/>
    </row>
    <row r="286" spans="2:3">
      <c r="B286"/>
      <c r="C286"/>
    </row>
    <row r="287" spans="2:3">
      <c r="B287"/>
      <c r="C287"/>
    </row>
    <row r="288" spans="2:3">
      <c r="B288"/>
      <c r="C288"/>
    </row>
    <row r="289" spans="2:3">
      <c r="B289"/>
      <c r="C289"/>
    </row>
    <row r="290" spans="2:3">
      <c r="B290"/>
      <c r="C290"/>
    </row>
    <row r="291" spans="2:3">
      <c r="B291"/>
      <c r="C291"/>
    </row>
    <row r="292" spans="2:3">
      <c r="B292"/>
      <c r="C292"/>
    </row>
    <row r="293" spans="2:3">
      <c r="B293"/>
      <c r="C293"/>
    </row>
    <row r="294" spans="2:3">
      <c r="B294"/>
      <c r="C294"/>
    </row>
    <row r="295" spans="2:3">
      <c r="B295"/>
      <c r="C295"/>
    </row>
    <row r="296" spans="2:3">
      <c r="B296"/>
      <c r="C296"/>
    </row>
    <row r="297" spans="2:3">
      <c r="B297"/>
      <c r="C297"/>
    </row>
    <row r="298" spans="2:3">
      <c r="B298"/>
      <c r="C298"/>
    </row>
    <row r="299" spans="2:3">
      <c r="B299"/>
      <c r="C299"/>
    </row>
    <row r="300" spans="2:3">
      <c r="B300"/>
      <c r="C300"/>
    </row>
    <row r="301" spans="2:3">
      <c r="B301"/>
      <c r="C301"/>
    </row>
    <row r="302" spans="2:3">
      <c r="B302"/>
      <c r="C302"/>
    </row>
    <row r="303" spans="2:3">
      <c r="B303"/>
      <c r="C303"/>
    </row>
    <row r="304" spans="2:3">
      <c r="B304"/>
      <c r="C304"/>
    </row>
    <row r="305" spans="2:3">
      <c r="B305"/>
      <c r="C305"/>
    </row>
    <row r="306" spans="2:3">
      <c r="B306"/>
      <c r="C306"/>
    </row>
    <row r="307" spans="2:3">
      <c r="B307"/>
      <c r="C307"/>
    </row>
    <row r="308" spans="2:3">
      <c r="B308"/>
      <c r="C308"/>
    </row>
    <row r="309" spans="2:3">
      <c r="B309"/>
      <c r="C309"/>
    </row>
    <row r="310" spans="2:3">
      <c r="B310"/>
      <c r="C310"/>
    </row>
    <row r="311" spans="2:3">
      <c r="B311"/>
      <c r="C311"/>
    </row>
    <row r="312" spans="2:3">
      <c r="B312"/>
      <c r="C312"/>
    </row>
    <row r="313" spans="2:3">
      <c r="B313"/>
      <c r="C313"/>
    </row>
    <row r="314" spans="2:3">
      <c r="B314"/>
      <c r="C314"/>
    </row>
    <row r="315" spans="2:3">
      <c r="B315"/>
      <c r="C315"/>
    </row>
    <row r="316" spans="2:3">
      <c r="B316"/>
      <c r="C316"/>
    </row>
    <row r="317" spans="2:3">
      <c r="B317"/>
      <c r="C317"/>
    </row>
    <row r="318" spans="2:3">
      <c r="B318"/>
      <c r="C318"/>
    </row>
    <row r="319" spans="2:3">
      <c r="B319"/>
      <c r="C319"/>
    </row>
    <row r="320" spans="2:3">
      <c r="B320"/>
      <c r="C320"/>
    </row>
    <row r="321" spans="2:3">
      <c r="B321"/>
      <c r="C321"/>
    </row>
    <row r="322" spans="2:3">
      <c r="B322"/>
      <c r="C322"/>
    </row>
    <row r="323" spans="2:3">
      <c r="B323"/>
      <c r="C323"/>
    </row>
    <row r="324" spans="2:3">
      <c r="B324"/>
      <c r="C324"/>
    </row>
    <row r="325" spans="2:3">
      <c r="B325"/>
      <c r="C325"/>
    </row>
    <row r="326" spans="2:3">
      <c r="B326"/>
      <c r="C326"/>
    </row>
    <row r="327" spans="2:3">
      <c r="B327"/>
      <c r="C327"/>
    </row>
    <row r="328" spans="2:3">
      <c r="B328"/>
      <c r="C328"/>
    </row>
    <row r="329" spans="2:3">
      <c r="B329"/>
      <c r="C329"/>
    </row>
    <row r="330" spans="2:3">
      <c r="B330"/>
      <c r="C330"/>
    </row>
    <row r="331" spans="2:3">
      <c r="B331"/>
      <c r="C331"/>
    </row>
    <row r="332" spans="2:3">
      <c r="B332"/>
      <c r="C332"/>
    </row>
    <row r="333" spans="2:3">
      <c r="B333"/>
      <c r="C333"/>
    </row>
    <row r="334" spans="2:3">
      <c r="B334"/>
      <c r="C334"/>
    </row>
    <row r="335" spans="2:3">
      <c r="B335"/>
      <c r="C335"/>
    </row>
    <row r="336" spans="2:3">
      <c r="B336"/>
      <c r="C336"/>
    </row>
    <row r="337" spans="2:3">
      <c r="B337"/>
      <c r="C337"/>
    </row>
    <row r="338" spans="2:3">
      <c r="B338"/>
      <c r="C338"/>
    </row>
    <row r="339" spans="2:3">
      <c r="B339"/>
      <c r="C339"/>
    </row>
    <row r="340" spans="2:3">
      <c r="B340"/>
      <c r="C340"/>
    </row>
    <row r="341" spans="2:3">
      <c r="B341"/>
      <c r="C341"/>
    </row>
    <row r="342" spans="2:3">
      <c r="B342"/>
      <c r="C342"/>
    </row>
    <row r="343" spans="2:3">
      <c r="B343"/>
      <c r="C343"/>
    </row>
    <row r="344" spans="2:3">
      <c r="B344"/>
      <c r="C344"/>
    </row>
    <row r="345" spans="2:3">
      <c r="B345"/>
      <c r="C345"/>
    </row>
    <row r="346" spans="2:3">
      <c r="B346"/>
      <c r="C346"/>
    </row>
    <row r="347" spans="2:3">
      <c r="B347"/>
      <c r="C347"/>
    </row>
    <row r="348" spans="2:3">
      <c r="B348"/>
      <c r="C348"/>
    </row>
    <row r="349" spans="2:3">
      <c r="B349"/>
      <c r="C349"/>
    </row>
    <row r="350" spans="2:3">
      <c r="B350"/>
      <c r="C350"/>
    </row>
    <row r="351" spans="2:3">
      <c r="B351"/>
      <c r="C351"/>
    </row>
    <row r="352" spans="2:3">
      <c r="B352"/>
      <c r="C352"/>
    </row>
    <row r="353" spans="2:3">
      <c r="B353"/>
      <c r="C353"/>
    </row>
    <row r="354" spans="2:3">
      <c r="B354"/>
      <c r="C354"/>
    </row>
    <row r="355" spans="2:3">
      <c r="B355"/>
      <c r="C355"/>
    </row>
    <row r="356" spans="2:3">
      <c r="B356"/>
      <c r="C356"/>
    </row>
    <row r="357" spans="2:3">
      <c r="B357"/>
      <c r="C357"/>
    </row>
    <row r="358" spans="2:3">
      <c r="B358"/>
      <c r="C358"/>
    </row>
    <row r="359" spans="2:3">
      <c r="B359"/>
      <c r="C359"/>
    </row>
    <row r="360" spans="2:3">
      <c r="B360"/>
      <c r="C360"/>
    </row>
    <row r="361" spans="2:3">
      <c r="B361"/>
      <c r="C361"/>
    </row>
    <row r="362" spans="2:3">
      <c r="B362"/>
      <c r="C362"/>
    </row>
    <row r="363" spans="2:3">
      <c r="B363"/>
      <c r="C363"/>
    </row>
    <row r="364" spans="2:3">
      <c r="B364"/>
      <c r="C364"/>
    </row>
    <row r="365" spans="2:3">
      <c r="B365"/>
      <c r="C365"/>
    </row>
    <row r="366" spans="2:3">
      <c r="B366"/>
      <c r="C366"/>
    </row>
    <row r="367" spans="2:3">
      <c r="B367"/>
      <c r="C367"/>
    </row>
    <row r="368" spans="2:3">
      <c r="B368"/>
      <c r="C368"/>
    </row>
    <row r="369" spans="2:3">
      <c r="B369"/>
      <c r="C369"/>
    </row>
    <row r="370" spans="2:3">
      <c r="B370"/>
      <c r="C370"/>
    </row>
    <row r="371" spans="2:3">
      <c r="B371"/>
      <c r="C371"/>
    </row>
    <row r="372" spans="2:3">
      <c r="B372"/>
      <c r="C372"/>
    </row>
    <row r="373" spans="2:3">
      <c r="B373"/>
      <c r="C373"/>
    </row>
    <row r="374" spans="2:3">
      <c r="B374"/>
      <c r="C374"/>
    </row>
    <row r="375" spans="2:3">
      <c r="B375"/>
      <c r="C375"/>
    </row>
    <row r="376" spans="2:3">
      <c r="B376"/>
      <c r="C376"/>
    </row>
    <row r="377" spans="2:3">
      <c r="B377"/>
      <c r="C377"/>
    </row>
    <row r="378" spans="2:3">
      <c r="B378"/>
      <c r="C378"/>
    </row>
    <row r="379" spans="2:3">
      <c r="B379"/>
      <c r="C379"/>
    </row>
    <row r="380" spans="2:3">
      <c r="B380"/>
      <c r="C380"/>
    </row>
  </sheetData>
  <mergeCells count="1">
    <mergeCell ref="A1:E1"/>
  </mergeCell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5C81-1B2D-4B21-B769-291ADF3F193A}">
  <dimension ref="A1:E29"/>
  <sheetViews>
    <sheetView workbookViewId="0">
      <selection activeCell="E26" sqref="E26"/>
    </sheetView>
  </sheetViews>
  <sheetFormatPr defaultRowHeight="15"/>
  <cols>
    <col min="1" max="1" width="13.140625" bestFit="1" customWidth="1"/>
    <col min="3" max="3" width="17.140625" customWidth="1"/>
    <col min="4" max="4" width="15.85546875" customWidth="1"/>
  </cols>
  <sheetData>
    <row r="1" spans="1:5">
      <c r="C1" s="215" t="s">
        <v>531</v>
      </c>
      <c r="D1" s="219" t="s">
        <v>550</v>
      </c>
      <c r="E1" t="s">
        <v>2102</v>
      </c>
    </row>
    <row r="2" spans="1:5">
      <c r="C2" s="214" t="s">
        <v>215</v>
      </c>
      <c r="D2" s="219" t="s">
        <v>538</v>
      </c>
      <c r="E2" t="s">
        <v>2102</v>
      </c>
    </row>
    <row r="3" spans="1:5">
      <c r="A3" s="213" t="s">
        <v>531</v>
      </c>
      <c r="C3" s="214" t="s">
        <v>290</v>
      </c>
      <c r="D3" s="219" t="s">
        <v>539</v>
      </c>
      <c r="E3" t="s">
        <v>2102</v>
      </c>
    </row>
    <row r="4" spans="1:5">
      <c r="A4" s="214" t="s">
        <v>215</v>
      </c>
      <c r="C4" s="214" t="s">
        <v>88</v>
      </c>
      <c r="D4" s="219" t="s">
        <v>540</v>
      </c>
      <c r="E4" t="s">
        <v>2102</v>
      </c>
    </row>
    <row r="5" spans="1:5">
      <c r="A5" s="214" t="s">
        <v>290</v>
      </c>
      <c r="C5" s="214" t="s">
        <v>279</v>
      </c>
      <c r="D5" s="219" t="s">
        <v>540</v>
      </c>
      <c r="E5" t="s">
        <v>2102</v>
      </c>
    </row>
    <row r="6" spans="1:5">
      <c r="A6" s="214" t="s">
        <v>88</v>
      </c>
      <c r="C6" s="214" t="s">
        <v>344</v>
      </c>
      <c r="D6" s="219" t="s">
        <v>2076</v>
      </c>
      <c r="E6" t="s">
        <v>2102</v>
      </c>
    </row>
    <row r="7" spans="1:5">
      <c r="A7" s="214" t="s">
        <v>279</v>
      </c>
      <c r="C7" s="214" t="s">
        <v>271</v>
      </c>
      <c r="D7" s="219" t="s">
        <v>541</v>
      </c>
      <c r="E7" t="s">
        <v>2102</v>
      </c>
    </row>
    <row r="8" spans="1:5">
      <c r="A8" s="214" t="s">
        <v>344</v>
      </c>
      <c r="C8" s="214" t="s">
        <v>244</v>
      </c>
      <c r="D8" s="219" t="s">
        <v>551</v>
      </c>
      <c r="E8" t="s">
        <v>2102</v>
      </c>
    </row>
    <row r="9" spans="1:5">
      <c r="A9" s="214" t="s">
        <v>271</v>
      </c>
      <c r="C9" s="214" t="s">
        <v>213</v>
      </c>
      <c r="D9" s="219" t="s">
        <v>541</v>
      </c>
      <c r="E9" t="s">
        <v>2102</v>
      </c>
    </row>
    <row r="10" spans="1:5">
      <c r="A10" s="214" t="s">
        <v>244</v>
      </c>
      <c r="C10" s="214" t="s">
        <v>245</v>
      </c>
      <c r="D10" s="219" t="s">
        <v>2077</v>
      </c>
      <c r="E10" t="s">
        <v>2102</v>
      </c>
    </row>
    <row r="11" spans="1:5">
      <c r="A11" s="214" t="s">
        <v>213</v>
      </c>
      <c r="C11" s="214" t="s">
        <v>273</v>
      </c>
      <c r="D11" t="s">
        <v>857</v>
      </c>
      <c r="E11" t="s">
        <v>2102</v>
      </c>
    </row>
    <row r="12" spans="1:5">
      <c r="A12" s="214" t="s">
        <v>245</v>
      </c>
      <c r="C12" s="214" t="s">
        <v>343</v>
      </c>
      <c r="D12" t="s">
        <v>921</v>
      </c>
      <c r="E12" t="s">
        <v>2102</v>
      </c>
    </row>
    <row r="13" spans="1:5">
      <c r="A13" s="214" t="s">
        <v>273</v>
      </c>
      <c r="C13" s="214" t="s">
        <v>291</v>
      </c>
      <c r="D13" s="219" t="s">
        <v>2078</v>
      </c>
      <c r="E13" t="s">
        <v>2102</v>
      </c>
    </row>
    <row r="14" spans="1:5">
      <c r="A14" s="214" t="s">
        <v>343</v>
      </c>
      <c r="C14" s="214" t="s">
        <v>311</v>
      </c>
      <c r="D14" s="219" t="s">
        <v>1371</v>
      </c>
      <c r="E14" t="s">
        <v>2102</v>
      </c>
    </row>
    <row r="15" spans="1:5">
      <c r="A15" s="214" t="s">
        <v>291</v>
      </c>
      <c r="C15" s="214" t="s">
        <v>222</v>
      </c>
      <c r="D15" s="219" t="s">
        <v>552</v>
      </c>
      <c r="E15" t="s">
        <v>2102</v>
      </c>
    </row>
    <row r="16" spans="1:5">
      <c r="A16" s="214" t="s">
        <v>311</v>
      </c>
      <c r="C16" s="214" t="s">
        <v>116</v>
      </c>
      <c r="D16" s="219" t="s">
        <v>543</v>
      </c>
      <c r="E16" t="s">
        <v>2102</v>
      </c>
    </row>
    <row r="17" spans="1:5">
      <c r="A17" s="214" t="s">
        <v>222</v>
      </c>
      <c r="C17" s="214" t="s">
        <v>200</v>
      </c>
      <c r="D17" s="219" t="s">
        <v>542</v>
      </c>
      <c r="E17" t="s">
        <v>2102</v>
      </c>
    </row>
    <row r="18" spans="1:5">
      <c r="A18" s="214" t="s">
        <v>116</v>
      </c>
      <c r="C18" s="214" t="s">
        <v>293</v>
      </c>
      <c r="D18" s="219" t="s">
        <v>542</v>
      </c>
      <c r="E18" t="s">
        <v>2102</v>
      </c>
    </row>
    <row r="19" spans="1:5">
      <c r="A19" s="214" t="s">
        <v>200</v>
      </c>
      <c r="C19" s="214" t="s">
        <v>306</v>
      </c>
      <c r="D19" s="219" t="s">
        <v>542</v>
      </c>
      <c r="E19" t="s">
        <v>2102</v>
      </c>
    </row>
    <row r="20" spans="1:5">
      <c r="A20" s="214" t="s">
        <v>293</v>
      </c>
      <c r="C20" s="214" t="s">
        <v>46</v>
      </c>
      <c r="D20" s="219" t="s">
        <v>553</v>
      </c>
      <c r="E20" t="s">
        <v>2102</v>
      </c>
    </row>
    <row r="21" spans="1:5">
      <c r="A21" s="214" t="s">
        <v>306</v>
      </c>
      <c r="C21" s="214" t="s">
        <v>285</v>
      </c>
      <c r="D21" s="219" t="s">
        <v>549</v>
      </c>
      <c r="E21" t="s">
        <v>2102</v>
      </c>
    </row>
    <row r="22" spans="1:5">
      <c r="A22" s="214" t="s">
        <v>46</v>
      </c>
      <c r="C22" s="214" t="s">
        <v>111</v>
      </c>
      <c r="D22" s="219" t="s">
        <v>548</v>
      </c>
      <c r="E22" t="s">
        <v>2102</v>
      </c>
    </row>
    <row r="23" spans="1:5">
      <c r="A23" s="214" t="s">
        <v>285</v>
      </c>
      <c r="C23" s="214" t="s">
        <v>272</v>
      </c>
      <c r="D23" s="219" t="s">
        <v>544</v>
      </c>
      <c r="E23" t="s">
        <v>2102</v>
      </c>
    </row>
    <row r="24" spans="1:5">
      <c r="A24" s="214" t="s">
        <v>111</v>
      </c>
      <c r="C24" s="214" t="s">
        <v>206</v>
      </c>
      <c r="D24" s="219" t="s">
        <v>545</v>
      </c>
      <c r="E24" t="s">
        <v>2102</v>
      </c>
    </row>
    <row r="25" spans="1:5">
      <c r="A25" s="214" t="s">
        <v>272</v>
      </c>
      <c r="C25" s="214" t="s">
        <v>14</v>
      </c>
      <c r="D25" s="219" t="s">
        <v>546</v>
      </c>
      <c r="E25" t="s">
        <v>2103</v>
      </c>
    </row>
    <row r="26" spans="1:5">
      <c r="A26" s="214" t="s">
        <v>206</v>
      </c>
      <c r="C26" s="214" t="s">
        <v>25</v>
      </c>
      <c r="D26" s="219" t="s">
        <v>547</v>
      </c>
      <c r="E26" t="s">
        <v>2102</v>
      </c>
    </row>
    <row r="27" spans="1:5">
      <c r="A27" s="214" t="s">
        <v>14</v>
      </c>
    </row>
    <row r="28" spans="1:5">
      <c r="A28" s="214" t="s">
        <v>25</v>
      </c>
    </row>
    <row r="29" spans="1:5">
      <c r="A29" s="214" t="s">
        <v>532</v>
      </c>
    </row>
  </sheetData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D17A5-8792-41A1-AA74-CD030BE18683}">
  <dimension ref="A1:H279"/>
  <sheetViews>
    <sheetView workbookViewId="0">
      <selection activeCell="B1" sqref="B1"/>
    </sheetView>
  </sheetViews>
  <sheetFormatPr defaultRowHeight="15"/>
  <cols>
    <col min="1" max="1" width="29.42578125" customWidth="1"/>
    <col min="3" max="3" width="24.7109375" customWidth="1"/>
    <col min="4" max="4" width="13.7109375" customWidth="1"/>
    <col min="8" max="8" width="34.5703125" customWidth="1"/>
  </cols>
  <sheetData>
    <row r="1" spans="1:8">
      <c r="A1" t="s">
        <v>1957</v>
      </c>
      <c r="B1" t="s">
        <v>556</v>
      </c>
      <c r="C1" t="s">
        <v>1958</v>
      </c>
      <c r="D1" t="s">
        <v>554</v>
      </c>
      <c r="E1" t="s">
        <v>557</v>
      </c>
      <c r="F1" t="s">
        <v>558</v>
      </c>
      <c r="G1" t="s">
        <v>1959</v>
      </c>
      <c r="H1" t="s">
        <v>555</v>
      </c>
    </row>
    <row r="2" spans="1:8" hidden="1">
      <c r="A2" t="s">
        <v>559</v>
      </c>
      <c r="B2" t="s">
        <v>561</v>
      </c>
      <c r="C2" t="s">
        <v>1960</v>
      </c>
      <c r="D2" t="s">
        <v>560</v>
      </c>
      <c r="E2" t="s">
        <v>562</v>
      </c>
      <c r="F2">
        <v>4</v>
      </c>
      <c r="G2" t="s">
        <v>563</v>
      </c>
      <c r="H2" t="s">
        <v>564</v>
      </c>
    </row>
    <row r="3" spans="1:8" hidden="1">
      <c r="A3" t="s">
        <v>565</v>
      </c>
      <c r="B3" t="s">
        <v>567</v>
      </c>
      <c r="C3" t="s">
        <v>1961</v>
      </c>
      <c r="D3" t="s">
        <v>566</v>
      </c>
      <c r="E3" t="s">
        <v>568</v>
      </c>
      <c r="F3">
        <v>248</v>
      </c>
      <c r="G3" t="s">
        <v>569</v>
      </c>
      <c r="H3" t="s">
        <v>570</v>
      </c>
    </row>
    <row r="4" spans="1:8" hidden="1">
      <c r="A4" t="s">
        <v>571</v>
      </c>
      <c r="B4" t="s">
        <v>573</v>
      </c>
      <c r="C4" t="s">
        <v>572</v>
      </c>
      <c r="D4" t="s">
        <v>560</v>
      </c>
      <c r="E4" t="s">
        <v>574</v>
      </c>
      <c r="F4">
        <v>8</v>
      </c>
      <c r="G4" t="s">
        <v>575</v>
      </c>
      <c r="H4" t="s">
        <v>576</v>
      </c>
    </row>
    <row r="5" spans="1:8" hidden="1">
      <c r="A5" t="s">
        <v>577</v>
      </c>
      <c r="B5" t="s">
        <v>579</v>
      </c>
      <c r="C5" t="s">
        <v>578</v>
      </c>
      <c r="D5" t="s">
        <v>560</v>
      </c>
      <c r="E5" t="s">
        <v>580</v>
      </c>
      <c r="F5">
        <v>12</v>
      </c>
      <c r="G5" t="s">
        <v>581</v>
      </c>
      <c r="H5" t="s">
        <v>582</v>
      </c>
    </row>
    <row r="6" spans="1:8" hidden="1">
      <c r="A6" t="s">
        <v>583</v>
      </c>
      <c r="B6" t="s">
        <v>585</v>
      </c>
      <c r="C6" t="s">
        <v>1962</v>
      </c>
      <c r="D6" t="s">
        <v>584</v>
      </c>
      <c r="E6" t="s">
        <v>586</v>
      </c>
      <c r="F6">
        <v>16</v>
      </c>
      <c r="G6" t="s">
        <v>587</v>
      </c>
      <c r="H6" t="s">
        <v>588</v>
      </c>
    </row>
    <row r="7" spans="1:8" hidden="1">
      <c r="A7" t="s">
        <v>589</v>
      </c>
      <c r="B7" t="s">
        <v>591</v>
      </c>
      <c r="C7" t="s">
        <v>590</v>
      </c>
      <c r="D7" t="s">
        <v>560</v>
      </c>
      <c r="E7" t="s">
        <v>592</v>
      </c>
      <c r="F7">
        <v>20</v>
      </c>
      <c r="G7" t="s">
        <v>593</v>
      </c>
      <c r="H7" t="s">
        <v>594</v>
      </c>
    </row>
    <row r="8" spans="1:8" hidden="1">
      <c r="A8" t="s">
        <v>595</v>
      </c>
      <c r="B8" t="s">
        <v>597</v>
      </c>
      <c r="C8" t="s">
        <v>596</v>
      </c>
      <c r="D8" t="s">
        <v>560</v>
      </c>
      <c r="E8" t="s">
        <v>598</v>
      </c>
      <c r="F8">
        <v>24</v>
      </c>
      <c r="G8" t="s">
        <v>599</v>
      </c>
      <c r="H8" t="s">
        <v>600</v>
      </c>
    </row>
    <row r="9" spans="1:8" hidden="1">
      <c r="A9" t="s">
        <v>601</v>
      </c>
      <c r="B9" t="s">
        <v>603</v>
      </c>
      <c r="C9" t="s">
        <v>1963</v>
      </c>
      <c r="D9" t="s">
        <v>602</v>
      </c>
      <c r="E9" t="s">
        <v>604</v>
      </c>
      <c r="F9">
        <v>660</v>
      </c>
      <c r="G9" t="s">
        <v>605</v>
      </c>
      <c r="H9" t="s">
        <v>606</v>
      </c>
    </row>
    <row r="10" spans="1:8" hidden="1">
      <c r="A10" t="s">
        <v>1964</v>
      </c>
      <c r="B10" t="s">
        <v>608</v>
      </c>
      <c r="C10" t="s">
        <v>1965</v>
      </c>
      <c r="D10" t="s">
        <v>607</v>
      </c>
      <c r="E10" t="s">
        <v>609</v>
      </c>
      <c r="F10">
        <v>10</v>
      </c>
      <c r="G10" t="s">
        <v>610</v>
      </c>
      <c r="H10" t="s">
        <v>611</v>
      </c>
    </row>
    <row r="11" spans="1:8" hidden="1">
      <c r="A11" t="s">
        <v>612</v>
      </c>
      <c r="B11" t="s">
        <v>613</v>
      </c>
      <c r="C11" t="s">
        <v>1966</v>
      </c>
      <c r="D11" t="s">
        <v>560</v>
      </c>
      <c r="E11" t="s">
        <v>614</v>
      </c>
      <c r="F11">
        <v>28</v>
      </c>
      <c r="G11" t="s">
        <v>615</v>
      </c>
      <c r="H11" t="s">
        <v>616</v>
      </c>
    </row>
    <row r="12" spans="1:8" hidden="1">
      <c r="A12" t="s">
        <v>617</v>
      </c>
      <c r="B12" t="s">
        <v>619</v>
      </c>
      <c r="C12" t="s">
        <v>618</v>
      </c>
      <c r="D12" t="s">
        <v>560</v>
      </c>
      <c r="E12" t="s">
        <v>620</v>
      </c>
      <c r="F12">
        <v>32</v>
      </c>
      <c r="G12" t="s">
        <v>621</v>
      </c>
      <c r="H12" t="s">
        <v>622</v>
      </c>
    </row>
    <row r="13" spans="1:8" hidden="1">
      <c r="A13" t="s">
        <v>623</v>
      </c>
      <c r="B13" t="s">
        <v>625</v>
      </c>
      <c r="C13" t="s">
        <v>624</v>
      </c>
      <c r="D13" t="s">
        <v>560</v>
      </c>
      <c r="E13" t="s">
        <v>626</v>
      </c>
      <c r="F13">
        <v>51</v>
      </c>
      <c r="G13" t="s">
        <v>627</v>
      </c>
      <c r="H13" t="s">
        <v>628</v>
      </c>
    </row>
    <row r="14" spans="1:8" hidden="1">
      <c r="A14" t="s">
        <v>629</v>
      </c>
      <c r="B14" t="s">
        <v>631</v>
      </c>
      <c r="C14" t="s">
        <v>1967</v>
      </c>
      <c r="D14" t="s">
        <v>630</v>
      </c>
      <c r="E14" t="s">
        <v>632</v>
      </c>
      <c r="F14">
        <v>533</v>
      </c>
      <c r="G14" t="s">
        <v>633</v>
      </c>
      <c r="H14" t="s">
        <v>634</v>
      </c>
    </row>
    <row r="15" spans="1:8" hidden="1">
      <c r="A15" t="s">
        <v>1968</v>
      </c>
      <c r="B15" t="s">
        <v>215</v>
      </c>
      <c r="C15" t="s">
        <v>1969</v>
      </c>
      <c r="D15" t="s">
        <v>560</v>
      </c>
      <c r="E15" t="s">
        <v>635</v>
      </c>
      <c r="F15">
        <v>36</v>
      </c>
      <c r="G15" t="s">
        <v>636</v>
      </c>
      <c r="H15" t="s">
        <v>637</v>
      </c>
    </row>
    <row r="16" spans="1:8" hidden="1">
      <c r="A16" t="s">
        <v>638</v>
      </c>
      <c r="B16" t="s">
        <v>640</v>
      </c>
      <c r="C16" t="s">
        <v>639</v>
      </c>
      <c r="D16" t="s">
        <v>560</v>
      </c>
      <c r="E16" t="s">
        <v>641</v>
      </c>
      <c r="F16">
        <v>40</v>
      </c>
      <c r="G16" t="s">
        <v>642</v>
      </c>
      <c r="H16" t="s">
        <v>643</v>
      </c>
    </row>
    <row r="17" spans="1:8" hidden="1">
      <c r="A17" t="s">
        <v>644</v>
      </c>
      <c r="B17" t="s">
        <v>646</v>
      </c>
      <c r="C17" t="s">
        <v>645</v>
      </c>
      <c r="D17" t="s">
        <v>560</v>
      </c>
      <c r="E17" t="s">
        <v>647</v>
      </c>
      <c r="F17">
        <v>31</v>
      </c>
      <c r="G17" t="s">
        <v>648</v>
      </c>
      <c r="H17" t="s">
        <v>649</v>
      </c>
    </row>
    <row r="18" spans="1:8" hidden="1">
      <c r="A18" t="s">
        <v>650</v>
      </c>
      <c r="B18" t="s">
        <v>652</v>
      </c>
      <c r="C18" t="s">
        <v>651</v>
      </c>
      <c r="D18" t="s">
        <v>560</v>
      </c>
      <c r="E18" t="s">
        <v>653</v>
      </c>
      <c r="F18">
        <v>44</v>
      </c>
      <c r="G18" t="s">
        <v>654</v>
      </c>
      <c r="H18" t="s">
        <v>655</v>
      </c>
    </row>
    <row r="19" spans="1:8" hidden="1">
      <c r="A19" t="s">
        <v>656</v>
      </c>
      <c r="B19" t="s">
        <v>658</v>
      </c>
      <c r="C19" t="s">
        <v>657</v>
      </c>
      <c r="D19" t="s">
        <v>560</v>
      </c>
      <c r="E19" t="s">
        <v>659</v>
      </c>
      <c r="F19">
        <v>48</v>
      </c>
      <c r="G19" t="s">
        <v>660</v>
      </c>
      <c r="H19" t="s">
        <v>661</v>
      </c>
    </row>
    <row r="20" spans="1:8" hidden="1">
      <c r="A20" t="s">
        <v>662</v>
      </c>
      <c r="B20" t="s">
        <v>664</v>
      </c>
      <c r="C20" t="s">
        <v>663</v>
      </c>
      <c r="D20" t="s">
        <v>560</v>
      </c>
      <c r="E20" t="s">
        <v>665</v>
      </c>
      <c r="F20">
        <v>50</v>
      </c>
      <c r="G20" t="s">
        <v>666</v>
      </c>
      <c r="H20" t="s">
        <v>667</v>
      </c>
    </row>
    <row r="21" spans="1:8" hidden="1">
      <c r="A21" t="s">
        <v>668</v>
      </c>
      <c r="B21" t="s">
        <v>669</v>
      </c>
      <c r="C21" t="s">
        <v>1970</v>
      </c>
      <c r="D21" t="s">
        <v>560</v>
      </c>
      <c r="E21" t="s">
        <v>670</v>
      </c>
      <c r="F21">
        <v>52</v>
      </c>
      <c r="G21" t="s">
        <v>671</v>
      </c>
      <c r="H21" t="s">
        <v>672</v>
      </c>
    </row>
    <row r="22" spans="1:8" hidden="1">
      <c r="A22" t="s">
        <v>673</v>
      </c>
      <c r="B22" t="s">
        <v>675</v>
      </c>
      <c r="C22" t="s">
        <v>674</v>
      </c>
      <c r="D22" t="s">
        <v>560</v>
      </c>
      <c r="E22" t="s">
        <v>676</v>
      </c>
      <c r="F22">
        <v>112</v>
      </c>
      <c r="G22" t="s">
        <v>677</v>
      </c>
      <c r="H22" t="s">
        <v>678</v>
      </c>
    </row>
    <row r="23" spans="1:8" hidden="1">
      <c r="A23" t="s">
        <v>679</v>
      </c>
      <c r="B23" t="s">
        <v>681</v>
      </c>
      <c r="C23" t="s">
        <v>680</v>
      </c>
      <c r="D23" t="s">
        <v>560</v>
      </c>
      <c r="E23" t="s">
        <v>682</v>
      </c>
      <c r="F23">
        <v>56</v>
      </c>
      <c r="G23" t="s">
        <v>683</v>
      </c>
      <c r="H23" t="s">
        <v>684</v>
      </c>
    </row>
    <row r="24" spans="1:8" hidden="1">
      <c r="A24" t="s">
        <v>685</v>
      </c>
      <c r="B24" t="s">
        <v>686</v>
      </c>
      <c r="C24" t="s">
        <v>1971</v>
      </c>
      <c r="D24" t="s">
        <v>560</v>
      </c>
      <c r="E24" t="s">
        <v>687</v>
      </c>
      <c r="F24">
        <v>84</v>
      </c>
      <c r="G24" t="s">
        <v>688</v>
      </c>
      <c r="H24" t="s">
        <v>689</v>
      </c>
    </row>
    <row r="25" spans="1:8" hidden="1">
      <c r="A25" t="s">
        <v>690</v>
      </c>
      <c r="B25" t="s">
        <v>692</v>
      </c>
      <c r="C25" t="s">
        <v>691</v>
      </c>
      <c r="D25" t="s">
        <v>560</v>
      </c>
      <c r="E25" t="s">
        <v>693</v>
      </c>
      <c r="F25">
        <v>204</v>
      </c>
      <c r="G25" t="s">
        <v>694</v>
      </c>
      <c r="H25" t="s">
        <v>695</v>
      </c>
    </row>
    <row r="26" spans="1:8" hidden="1">
      <c r="A26" t="s">
        <v>696</v>
      </c>
      <c r="B26" t="s">
        <v>697</v>
      </c>
      <c r="C26" t="s">
        <v>1972</v>
      </c>
      <c r="D26" t="s">
        <v>602</v>
      </c>
      <c r="E26" t="s">
        <v>698</v>
      </c>
      <c r="F26">
        <v>60</v>
      </c>
      <c r="G26" t="s">
        <v>699</v>
      </c>
      <c r="H26" t="s">
        <v>700</v>
      </c>
    </row>
    <row r="27" spans="1:8" hidden="1">
      <c r="A27" t="s">
        <v>701</v>
      </c>
      <c r="B27" t="s">
        <v>703</v>
      </c>
      <c r="C27" t="s">
        <v>702</v>
      </c>
      <c r="D27" t="s">
        <v>560</v>
      </c>
      <c r="E27" t="s">
        <v>704</v>
      </c>
      <c r="F27">
        <v>64</v>
      </c>
      <c r="G27" t="s">
        <v>705</v>
      </c>
      <c r="H27" t="s">
        <v>706</v>
      </c>
    </row>
    <row r="28" spans="1:8" hidden="1">
      <c r="A28" t="s">
        <v>707</v>
      </c>
      <c r="B28" t="s">
        <v>709</v>
      </c>
      <c r="C28" t="s">
        <v>708</v>
      </c>
      <c r="D28" t="s">
        <v>560</v>
      </c>
      <c r="E28" t="s">
        <v>710</v>
      </c>
      <c r="F28">
        <v>68</v>
      </c>
      <c r="G28" t="s">
        <v>711</v>
      </c>
      <c r="H28" t="s">
        <v>712</v>
      </c>
    </row>
    <row r="29" spans="1:8" hidden="1">
      <c r="A29" t="s">
        <v>713</v>
      </c>
      <c r="B29" t="s">
        <v>716</v>
      </c>
      <c r="C29" t="s">
        <v>1973</v>
      </c>
      <c r="D29" t="s">
        <v>630</v>
      </c>
      <c r="E29" t="s">
        <v>717</v>
      </c>
      <c r="F29">
        <v>535</v>
      </c>
      <c r="G29" t="s">
        <v>718</v>
      </c>
      <c r="H29" t="s">
        <v>719</v>
      </c>
    </row>
    <row r="30" spans="1:8" hidden="1">
      <c r="A30" t="s">
        <v>714</v>
      </c>
      <c r="H30" t="s">
        <v>1974</v>
      </c>
    </row>
    <row r="31" spans="1:8" hidden="1">
      <c r="A31" t="s">
        <v>715</v>
      </c>
    </row>
    <row r="32" spans="1:8" hidden="1">
      <c r="A32" t="s">
        <v>720</v>
      </c>
      <c r="B32" t="s">
        <v>721</v>
      </c>
      <c r="C32" t="s">
        <v>1975</v>
      </c>
      <c r="D32" t="s">
        <v>560</v>
      </c>
      <c r="E32" t="s">
        <v>722</v>
      </c>
      <c r="F32">
        <v>70</v>
      </c>
      <c r="G32" t="s">
        <v>723</v>
      </c>
      <c r="H32" t="s">
        <v>724</v>
      </c>
    </row>
    <row r="33" spans="1:8" hidden="1">
      <c r="A33" t="s">
        <v>725</v>
      </c>
      <c r="B33" t="s">
        <v>727</v>
      </c>
      <c r="C33" t="s">
        <v>726</v>
      </c>
      <c r="D33" t="s">
        <v>560</v>
      </c>
      <c r="E33" t="s">
        <v>728</v>
      </c>
      <c r="F33">
        <v>72</v>
      </c>
      <c r="G33" t="s">
        <v>729</v>
      </c>
      <c r="H33" t="s">
        <v>730</v>
      </c>
    </row>
    <row r="34" spans="1:8" hidden="1">
      <c r="A34" t="s">
        <v>731</v>
      </c>
      <c r="B34" t="s">
        <v>733</v>
      </c>
      <c r="C34" t="s">
        <v>1976</v>
      </c>
      <c r="D34" t="s">
        <v>732</v>
      </c>
      <c r="E34" t="s">
        <v>734</v>
      </c>
      <c r="F34">
        <v>74</v>
      </c>
      <c r="G34" t="s">
        <v>735</v>
      </c>
      <c r="H34" t="s">
        <v>736</v>
      </c>
    </row>
    <row r="35" spans="1:8" hidden="1">
      <c r="A35" t="s">
        <v>737</v>
      </c>
      <c r="B35" t="s">
        <v>290</v>
      </c>
      <c r="C35" t="s">
        <v>738</v>
      </c>
      <c r="D35" t="s">
        <v>560</v>
      </c>
      <c r="E35" t="s">
        <v>739</v>
      </c>
      <c r="F35">
        <v>76</v>
      </c>
      <c r="G35" t="s">
        <v>740</v>
      </c>
      <c r="H35" t="s">
        <v>741</v>
      </c>
    </row>
    <row r="36" spans="1:8" hidden="1">
      <c r="A36" t="s">
        <v>742</v>
      </c>
      <c r="B36" t="s">
        <v>743</v>
      </c>
      <c r="C36" t="s">
        <v>1977</v>
      </c>
      <c r="D36" t="s">
        <v>602</v>
      </c>
      <c r="E36" t="s">
        <v>744</v>
      </c>
      <c r="F36">
        <v>86</v>
      </c>
      <c r="G36" t="s">
        <v>745</v>
      </c>
      <c r="H36" t="s">
        <v>746</v>
      </c>
    </row>
    <row r="37" spans="1:8" hidden="1">
      <c r="A37" t="s">
        <v>747</v>
      </c>
    </row>
    <row r="38" spans="1:8" hidden="1">
      <c r="A38" t="s">
        <v>1978</v>
      </c>
      <c r="B38" t="s">
        <v>748</v>
      </c>
      <c r="C38" t="s">
        <v>1979</v>
      </c>
      <c r="D38" t="s">
        <v>560</v>
      </c>
      <c r="E38" t="s">
        <v>749</v>
      </c>
      <c r="F38">
        <v>96</v>
      </c>
      <c r="G38" t="s">
        <v>750</v>
      </c>
      <c r="H38" t="s">
        <v>751</v>
      </c>
    </row>
    <row r="39" spans="1:8" hidden="1">
      <c r="A39" t="s">
        <v>752</v>
      </c>
      <c r="B39" t="s">
        <v>754</v>
      </c>
      <c r="C39" t="s">
        <v>753</v>
      </c>
      <c r="D39" t="s">
        <v>560</v>
      </c>
      <c r="E39" t="s">
        <v>755</v>
      </c>
      <c r="F39">
        <v>100</v>
      </c>
      <c r="G39" t="s">
        <v>756</v>
      </c>
      <c r="H39" t="s">
        <v>757</v>
      </c>
    </row>
    <row r="40" spans="1:8" hidden="1">
      <c r="A40" t="s">
        <v>758</v>
      </c>
      <c r="B40" t="s">
        <v>759</v>
      </c>
      <c r="C40" t="s">
        <v>1980</v>
      </c>
      <c r="D40" t="s">
        <v>560</v>
      </c>
      <c r="E40" t="s">
        <v>760</v>
      </c>
      <c r="F40">
        <v>854</v>
      </c>
      <c r="G40" t="s">
        <v>761</v>
      </c>
      <c r="H40" t="s">
        <v>762</v>
      </c>
    </row>
    <row r="41" spans="1:8" hidden="1">
      <c r="A41" t="s">
        <v>763</v>
      </c>
    </row>
    <row r="42" spans="1:8" hidden="1">
      <c r="A42" t="s">
        <v>764</v>
      </c>
      <c r="B42" t="s">
        <v>766</v>
      </c>
      <c r="C42" t="s">
        <v>765</v>
      </c>
      <c r="D42" t="s">
        <v>560</v>
      </c>
      <c r="E42" t="s">
        <v>767</v>
      </c>
      <c r="F42">
        <v>108</v>
      </c>
      <c r="G42" t="s">
        <v>768</v>
      </c>
      <c r="H42" t="s">
        <v>769</v>
      </c>
    </row>
    <row r="43" spans="1:8" hidden="1">
      <c r="A43" t="s">
        <v>1981</v>
      </c>
      <c r="B43" t="s">
        <v>771</v>
      </c>
      <c r="C43" t="s">
        <v>770</v>
      </c>
      <c r="D43" t="s">
        <v>560</v>
      </c>
      <c r="E43" t="s">
        <v>772</v>
      </c>
      <c r="F43">
        <v>132</v>
      </c>
      <c r="G43" t="s">
        <v>773</v>
      </c>
      <c r="H43" t="s">
        <v>774</v>
      </c>
    </row>
    <row r="44" spans="1:8" hidden="1">
      <c r="A44" t="s">
        <v>775</v>
      </c>
      <c r="B44" t="s">
        <v>777</v>
      </c>
      <c r="C44" t="s">
        <v>776</v>
      </c>
      <c r="D44" t="s">
        <v>560</v>
      </c>
      <c r="E44" t="s">
        <v>778</v>
      </c>
      <c r="F44">
        <v>116</v>
      </c>
      <c r="G44" t="s">
        <v>779</v>
      </c>
      <c r="H44" t="s">
        <v>780</v>
      </c>
    </row>
    <row r="45" spans="1:8" hidden="1">
      <c r="A45" t="s">
        <v>781</v>
      </c>
      <c r="B45" t="s">
        <v>783</v>
      </c>
      <c r="C45" t="s">
        <v>782</v>
      </c>
      <c r="D45" t="s">
        <v>560</v>
      </c>
      <c r="E45" t="s">
        <v>784</v>
      </c>
      <c r="F45">
        <v>120</v>
      </c>
      <c r="G45" t="s">
        <v>785</v>
      </c>
      <c r="H45" t="s">
        <v>786</v>
      </c>
    </row>
    <row r="46" spans="1:8" hidden="1">
      <c r="A46" t="s">
        <v>787</v>
      </c>
      <c r="B46" t="s">
        <v>88</v>
      </c>
      <c r="C46" t="s">
        <v>1982</v>
      </c>
      <c r="D46" t="s">
        <v>560</v>
      </c>
      <c r="E46" t="s">
        <v>279</v>
      </c>
      <c r="F46">
        <v>124</v>
      </c>
      <c r="G46" t="s">
        <v>788</v>
      </c>
      <c r="H46" t="s">
        <v>789</v>
      </c>
    </row>
    <row r="47" spans="1:8" hidden="1">
      <c r="A47" t="s">
        <v>790</v>
      </c>
    </row>
    <row r="48" spans="1:8" hidden="1">
      <c r="A48" t="s">
        <v>791</v>
      </c>
    </row>
    <row r="49" spans="1:8" hidden="1">
      <c r="A49" t="s">
        <v>792</v>
      </c>
      <c r="B49" t="s">
        <v>793</v>
      </c>
      <c r="C49" t="s">
        <v>1983</v>
      </c>
      <c r="D49" t="s">
        <v>602</v>
      </c>
      <c r="E49" t="s">
        <v>794</v>
      </c>
      <c r="F49">
        <v>136</v>
      </c>
      <c r="G49" t="s">
        <v>795</v>
      </c>
      <c r="H49" t="s">
        <v>796</v>
      </c>
    </row>
    <row r="50" spans="1:8" hidden="1">
      <c r="A50" t="s">
        <v>797</v>
      </c>
      <c r="B50" t="s">
        <v>799</v>
      </c>
      <c r="C50" t="s">
        <v>798</v>
      </c>
      <c r="D50" t="s">
        <v>560</v>
      </c>
      <c r="E50" t="s">
        <v>800</v>
      </c>
      <c r="F50">
        <v>140</v>
      </c>
      <c r="G50" t="s">
        <v>801</v>
      </c>
      <c r="H50" t="s">
        <v>802</v>
      </c>
    </row>
    <row r="51" spans="1:8" hidden="1">
      <c r="A51" t="s">
        <v>803</v>
      </c>
      <c r="B51" t="s">
        <v>805</v>
      </c>
      <c r="C51" t="s">
        <v>804</v>
      </c>
      <c r="D51" t="s">
        <v>560</v>
      </c>
      <c r="E51" t="s">
        <v>806</v>
      </c>
      <c r="F51">
        <v>148</v>
      </c>
      <c r="G51" t="s">
        <v>807</v>
      </c>
      <c r="H51" t="s">
        <v>808</v>
      </c>
    </row>
    <row r="52" spans="1:8" hidden="1">
      <c r="A52" t="s">
        <v>809</v>
      </c>
      <c r="B52" t="s">
        <v>244</v>
      </c>
      <c r="C52" t="s">
        <v>810</v>
      </c>
      <c r="D52" t="s">
        <v>560</v>
      </c>
      <c r="E52" t="s">
        <v>811</v>
      </c>
      <c r="F52">
        <v>152</v>
      </c>
      <c r="G52" t="s">
        <v>812</v>
      </c>
      <c r="H52" t="s">
        <v>813</v>
      </c>
    </row>
    <row r="53" spans="1:8" hidden="1">
      <c r="A53" t="s">
        <v>814</v>
      </c>
      <c r="B53" t="s">
        <v>213</v>
      </c>
      <c r="C53" t="s">
        <v>815</v>
      </c>
      <c r="D53" t="s">
        <v>560</v>
      </c>
      <c r="E53" t="s">
        <v>271</v>
      </c>
      <c r="F53">
        <v>156</v>
      </c>
      <c r="G53" t="s">
        <v>816</v>
      </c>
      <c r="H53" t="s">
        <v>817</v>
      </c>
    </row>
    <row r="54" spans="1:8" hidden="1">
      <c r="A54" t="s">
        <v>818</v>
      </c>
    </row>
    <row r="55" spans="1:8" hidden="1">
      <c r="A55" t="s">
        <v>819</v>
      </c>
      <c r="B55" t="s">
        <v>820</v>
      </c>
      <c r="C55" t="s">
        <v>1984</v>
      </c>
      <c r="D55" t="s">
        <v>538</v>
      </c>
      <c r="E55" t="s">
        <v>821</v>
      </c>
      <c r="F55">
        <v>162</v>
      </c>
      <c r="G55" t="s">
        <v>822</v>
      </c>
      <c r="H55" t="s">
        <v>823</v>
      </c>
    </row>
    <row r="56" spans="1:8" hidden="1">
      <c r="A56" t="s">
        <v>824</v>
      </c>
      <c r="B56" t="s">
        <v>825</v>
      </c>
      <c r="C56" t="s">
        <v>1985</v>
      </c>
      <c r="D56" t="s">
        <v>538</v>
      </c>
      <c r="E56" t="s">
        <v>826</v>
      </c>
      <c r="F56">
        <v>166</v>
      </c>
      <c r="G56" t="s">
        <v>827</v>
      </c>
      <c r="H56" t="s">
        <v>828</v>
      </c>
    </row>
    <row r="57" spans="1:8" hidden="1">
      <c r="A57" t="s">
        <v>829</v>
      </c>
      <c r="B57" t="s">
        <v>831</v>
      </c>
      <c r="C57" t="s">
        <v>830</v>
      </c>
      <c r="D57" t="s">
        <v>560</v>
      </c>
      <c r="E57" t="s">
        <v>832</v>
      </c>
      <c r="F57">
        <v>170</v>
      </c>
      <c r="G57" t="s">
        <v>833</v>
      </c>
      <c r="H57" t="s">
        <v>834</v>
      </c>
    </row>
    <row r="58" spans="1:8" hidden="1">
      <c r="A58" t="s">
        <v>835</v>
      </c>
      <c r="B58" t="s">
        <v>837</v>
      </c>
      <c r="C58" t="s">
        <v>836</v>
      </c>
      <c r="D58" t="s">
        <v>560</v>
      </c>
      <c r="E58" t="s">
        <v>838</v>
      </c>
      <c r="F58">
        <v>174</v>
      </c>
      <c r="G58" t="s">
        <v>839</v>
      </c>
      <c r="H58" t="s">
        <v>840</v>
      </c>
    </row>
    <row r="59" spans="1:8" hidden="1">
      <c r="A59" t="s">
        <v>841</v>
      </c>
      <c r="B59" t="s">
        <v>843</v>
      </c>
      <c r="C59" t="s">
        <v>842</v>
      </c>
      <c r="D59" t="s">
        <v>560</v>
      </c>
      <c r="E59" t="s">
        <v>844</v>
      </c>
      <c r="F59">
        <v>180</v>
      </c>
      <c r="G59" t="s">
        <v>845</v>
      </c>
      <c r="H59" t="s">
        <v>846</v>
      </c>
    </row>
    <row r="60" spans="1:8" hidden="1">
      <c r="A60" t="s">
        <v>1986</v>
      </c>
      <c r="B60" t="s">
        <v>848</v>
      </c>
      <c r="C60" t="s">
        <v>847</v>
      </c>
      <c r="D60" t="s">
        <v>560</v>
      </c>
      <c r="E60" t="s">
        <v>849</v>
      </c>
      <c r="F60">
        <v>178</v>
      </c>
      <c r="G60" t="s">
        <v>850</v>
      </c>
      <c r="H60" t="s">
        <v>851</v>
      </c>
    </row>
    <row r="61" spans="1:8" hidden="1">
      <c r="A61" t="s">
        <v>852</v>
      </c>
      <c r="B61" t="s">
        <v>853</v>
      </c>
      <c r="C61" t="s">
        <v>1987</v>
      </c>
      <c r="D61" t="s">
        <v>548</v>
      </c>
      <c r="E61" t="s">
        <v>854</v>
      </c>
      <c r="F61">
        <v>184</v>
      </c>
      <c r="G61" t="s">
        <v>855</v>
      </c>
      <c r="H61" t="s">
        <v>856</v>
      </c>
    </row>
    <row r="62" spans="1:8" hidden="1">
      <c r="A62" t="s">
        <v>857</v>
      </c>
      <c r="B62" t="s">
        <v>245</v>
      </c>
      <c r="C62" t="s">
        <v>858</v>
      </c>
      <c r="D62" t="s">
        <v>560</v>
      </c>
      <c r="E62" t="s">
        <v>273</v>
      </c>
      <c r="F62">
        <v>188</v>
      </c>
      <c r="G62" t="s">
        <v>859</v>
      </c>
      <c r="H62" t="s">
        <v>860</v>
      </c>
    </row>
    <row r="63" spans="1:8" hidden="1">
      <c r="A63" t="s">
        <v>1988</v>
      </c>
      <c r="B63" t="s">
        <v>862</v>
      </c>
      <c r="C63" t="s">
        <v>861</v>
      </c>
      <c r="D63" t="s">
        <v>560</v>
      </c>
      <c r="E63" t="s">
        <v>863</v>
      </c>
      <c r="F63">
        <v>384</v>
      </c>
      <c r="G63" t="s">
        <v>864</v>
      </c>
      <c r="H63" t="s">
        <v>865</v>
      </c>
    </row>
    <row r="64" spans="1:8" hidden="1">
      <c r="A64" t="s">
        <v>866</v>
      </c>
      <c r="B64" t="s">
        <v>868</v>
      </c>
      <c r="C64" t="s">
        <v>867</v>
      </c>
      <c r="D64" t="s">
        <v>560</v>
      </c>
      <c r="E64" t="s">
        <v>869</v>
      </c>
      <c r="F64">
        <v>191</v>
      </c>
      <c r="G64" t="s">
        <v>870</v>
      </c>
      <c r="H64" t="s">
        <v>871</v>
      </c>
    </row>
    <row r="65" spans="1:8" hidden="1">
      <c r="A65" t="s">
        <v>872</v>
      </c>
      <c r="B65" t="s">
        <v>874</v>
      </c>
      <c r="C65" t="s">
        <v>873</v>
      </c>
      <c r="D65" t="s">
        <v>560</v>
      </c>
      <c r="E65" t="s">
        <v>875</v>
      </c>
      <c r="F65">
        <v>192</v>
      </c>
      <c r="G65" t="s">
        <v>876</v>
      </c>
      <c r="H65" t="s">
        <v>877</v>
      </c>
    </row>
    <row r="66" spans="1:8" hidden="1">
      <c r="A66" t="s">
        <v>878</v>
      </c>
      <c r="B66" t="s">
        <v>879</v>
      </c>
      <c r="C66" t="s">
        <v>1989</v>
      </c>
      <c r="D66" t="s">
        <v>630</v>
      </c>
      <c r="E66" t="s">
        <v>880</v>
      </c>
      <c r="F66">
        <v>531</v>
      </c>
      <c r="G66" t="s">
        <v>881</v>
      </c>
      <c r="H66" t="s">
        <v>882</v>
      </c>
    </row>
    <row r="67" spans="1:8" hidden="1">
      <c r="A67" t="s">
        <v>883</v>
      </c>
      <c r="B67" t="s">
        <v>885</v>
      </c>
      <c r="C67" t="s">
        <v>884</v>
      </c>
      <c r="D67" t="s">
        <v>560</v>
      </c>
      <c r="E67" t="s">
        <v>886</v>
      </c>
      <c r="F67">
        <v>196</v>
      </c>
      <c r="G67" t="s">
        <v>887</v>
      </c>
      <c r="H67" t="s">
        <v>888</v>
      </c>
    </row>
    <row r="68" spans="1:8" hidden="1">
      <c r="A68" t="s">
        <v>1990</v>
      </c>
      <c r="B68" t="s">
        <v>890</v>
      </c>
      <c r="C68" t="s">
        <v>889</v>
      </c>
      <c r="D68" t="s">
        <v>560</v>
      </c>
      <c r="E68" t="s">
        <v>891</v>
      </c>
      <c r="F68">
        <v>203</v>
      </c>
      <c r="G68" t="s">
        <v>892</v>
      </c>
      <c r="H68" t="s">
        <v>893</v>
      </c>
    </row>
    <row r="69" spans="1:8" hidden="1">
      <c r="A69" t="s">
        <v>894</v>
      </c>
    </row>
    <row r="70" spans="1:8" hidden="1">
      <c r="A70" t="s">
        <v>895</v>
      </c>
    </row>
    <row r="71" spans="1:8" hidden="1">
      <c r="A71" t="s">
        <v>896</v>
      </c>
      <c r="B71" t="s">
        <v>898</v>
      </c>
      <c r="C71" t="s">
        <v>897</v>
      </c>
      <c r="D71" t="s">
        <v>560</v>
      </c>
      <c r="E71" t="s">
        <v>899</v>
      </c>
      <c r="F71">
        <v>208</v>
      </c>
      <c r="G71" t="s">
        <v>900</v>
      </c>
      <c r="H71" t="s">
        <v>901</v>
      </c>
    </row>
    <row r="72" spans="1:8" hidden="1">
      <c r="A72" t="s">
        <v>902</v>
      </c>
      <c r="B72" t="s">
        <v>904</v>
      </c>
      <c r="C72" t="s">
        <v>903</v>
      </c>
      <c r="D72" t="s">
        <v>560</v>
      </c>
      <c r="E72" t="s">
        <v>905</v>
      </c>
      <c r="F72">
        <v>262</v>
      </c>
      <c r="G72" t="s">
        <v>906</v>
      </c>
      <c r="H72" t="s">
        <v>907</v>
      </c>
    </row>
    <row r="73" spans="1:8" hidden="1">
      <c r="A73" t="s">
        <v>908</v>
      </c>
      <c r="B73" t="s">
        <v>910</v>
      </c>
      <c r="C73" t="s">
        <v>909</v>
      </c>
      <c r="D73" t="s">
        <v>560</v>
      </c>
      <c r="E73" t="s">
        <v>911</v>
      </c>
      <c r="F73">
        <v>212</v>
      </c>
      <c r="G73" t="s">
        <v>912</v>
      </c>
      <c r="H73" t="s">
        <v>913</v>
      </c>
    </row>
    <row r="74" spans="1:8" hidden="1">
      <c r="A74" t="s">
        <v>914</v>
      </c>
      <c r="B74" t="s">
        <v>916</v>
      </c>
      <c r="C74" t="s">
        <v>915</v>
      </c>
      <c r="D74" t="s">
        <v>560</v>
      </c>
      <c r="E74" t="s">
        <v>917</v>
      </c>
      <c r="F74">
        <v>214</v>
      </c>
      <c r="G74" t="s">
        <v>918</v>
      </c>
      <c r="H74" t="s">
        <v>919</v>
      </c>
    </row>
    <row r="75" spans="1:8" hidden="1">
      <c r="A75" t="s">
        <v>920</v>
      </c>
    </row>
    <row r="76" spans="1:8" hidden="1">
      <c r="A76" t="s">
        <v>921</v>
      </c>
      <c r="B76" t="s">
        <v>343</v>
      </c>
      <c r="C76" t="s">
        <v>922</v>
      </c>
      <c r="D76" t="s">
        <v>560</v>
      </c>
      <c r="E76" t="s">
        <v>923</v>
      </c>
      <c r="F76">
        <v>218</v>
      </c>
      <c r="G76" t="s">
        <v>924</v>
      </c>
      <c r="H76" t="s">
        <v>925</v>
      </c>
    </row>
    <row r="77" spans="1:8" hidden="1">
      <c r="A77" t="s">
        <v>926</v>
      </c>
      <c r="B77" t="s">
        <v>928</v>
      </c>
      <c r="C77" t="s">
        <v>927</v>
      </c>
      <c r="D77" t="s">
        <v>560</v>
      </c>
      <c r="E77" t="s">
        <v>929</v>
      </c>
      <c r="F77">
        <v>818</v>
      </c>
      <c r="G77" t="s">
        <v>930</v>
      </c>
      <c r="H77" t="s">
        <v>931</v>
      </c>
    </row>
    <row r="78" spans="1:8" hidden="1">
      <c r="A78" t="s">
        <v>932</v>
      </c>
      <c r="B78" t="s">
        <v>934</v>
      </c>
      <c r="C78" t="s">
        <v>933</v>
      </c>
      <c r="D78" t="s">
        <v>560</v>
      </c>
      <c r="E78" t="s">
        <v>935</v>
      </c>
      <c r="F78">
        <v>222</v>
      </c>
      <c r="G78" t="s">
        <v>936</v>
      </c>
      <c r="H78" t="s">
        <v>937</v>
      </c>
    </row>
    <row r="79" spans="1:8" hidden="1">
      <c r="A79" t="s">
        <v>938</v>
      </c>
      <c r="B79" t="s">
        <v>940</v>
      </c>
      <c r="C79" t="s">
        <v>939</v>
      </c>
      <c r="D79" t="s">
        <v>560</v>
      </c>
      <c r="E79" t="s">
        <v>941</v>
      </c>
      <c r="F79">
        <v>226</v>
      </c>
      <c r="G79" t="s">
        <v>942</v>
      </c>
      <c r="H79" t="s">
        <v>943</v>
      </c>
    </row>
    <row r="80" spans="1:8" hidden="1">
      <c r="A80" t="s">
        <v>944</v>
      </c>
      <c r="B80" t="s">
        <v>946</v>
      </c>
      <c r="C80" t="s">
        <v>945</v>
      </c>
      <c r="D80" t="s">
        <v>560</v>
      </c>
      <c r="E80" t="s">
        <v>947</v>
      </c>
      <c r="F80">
        <v>232</v>
      </c>
      <c r="G80" t="s">
        <v>948</v>
      </c>
      <c r="H80" t="s">
        <v>949</v>
      </c>
    </row>
    <row r="81" spans="1:8" hidden="1">
      <c r="A81" t="s">
        <v>950</v>
      </c>
      <c r="B81" t="s">
        <v>952</v>
      </c>
      <c r="C81" t="s">
        <v>951</v>
      </c>
      <c r="D81" t="s">
        <v>560</v>
      </c>
      <c r="E81" t="s">
        <v>953</v>
      </c>
      <c r="F81">
        <v>233</v>
      </c>
      <c r="G81" t="s">
        <v>954</v>
      </c>
      <c r="H81" t="s">
        <v>955</v>
      </c>
    </row>
    <row r="82" spans="1:8" hidden="1">
      <c r="A82" t="s">
        <v>1991</v>
      </c>
      <c r="B82" t="s">
        <v>957</v>
      </c>
      <c r="C82" t="s">
        <v>956</v>
      </c>
      <c r="D82" t="s">
        <v>560</v>
      </c>
      <c r="E82" t="s">
        <v>958</v>
      </c>
      <c r="F82">
        <v>748</v>
      </c>
      <c r="G82" t="s">
        <v>959</v>
      </c>
      <c r="H82" t="s">
        <v>960</v>
      </c>
    </row>
    <row r="83" spans="1:8" hidden="1">
      <c r="A83" t="s">
        <v>961</v>
      </c>
      <c r="B83" t="s">
        <v>963</v>
      </c>
      <c r="C83" t="s">
        <v>962</v>
      </c>
      <c r="D83" t="s">
        <v>560</v>
      </c>
      <c r="E83" t="s">
        <v>964</v>
      </c>
      <c r="F83">
        <v>231</v>
      </c>
      <c r="G83" t="s">
        <v>965</v>
      </c>
      <c r="H83" t="s">
        <v>966</v>
      </c>
    </row>
    <row r="84" spans="1:8" hidden="1">
      <c r="A84" t="s">
        <v>1992</v>
      </c>
      <c r="B84" t="s">
        <v>967</v>
      </c>
      <c r="C84" t="s">
        <v>1993</v>
      </c>
      <c r="D84" t="s">
        <v>602</v>
      </c>
      <c r="E84" t="s">
        <v>968</v>
      </c>
      <c r="F84">
        <v>238</v>
      </c>
      <c r="G84" t="s">
        <v>969</v>
      </c>
      <c r="H84" t="s">
        <v>970</v>
      </c>
    </row>
    <row r="85" spans="1:8" hidden="1">
      <c r="A85" t="s">
        <v>971</v>
      </c>
      <c r="B85" t="s">
        <v>973</v>
      </c>
      <c r="C85" t="s">
        <v>1994</v>
      </c>
      <c r="D85" t="s">
        <v>972</v>
      </c>
      <c r="E85" t="s">
        <v>974</v>
      </c>
      <c r="F85">
        <v>234</v>
      </c>
      <c r="G85" t="s">
        <v>975</v>
      </c>
      <c r="H85" t="s">
        <v>976</v>
      </c>
    </row>
    <row r="86" spans="1:8" hidden="1">
      <c r="A86" t="s">
        <v>977</v>
      </c>
      <c r="B86" t="s">
        <v>979</v>
      </c>
      <c r="C86" t="s">
        <v>978</v>
      </c>
      <c r="D86" t="s">
        <v>560</v>
      </c>
      <c r="E86" t="s">
        <v>980</v>
      </c>
      <c r="F86">
        <v>242</v>
      </c>
      <c r="G86" t="s">
        <v>981</v>
      </c>
      <c r="H86" t="s">
        <v>982</v>
      </c>
    </row>
    <row r="87" spans="1:8" hidden="1">
      <c r="A87" t="s">
        <v>983</v>
      </c>
      <c r="B87" t="s">
        <v>985</v>
      </c>
      <c r="C87" t="s">
        <v>984</v>
      </c>
      <c r="D87" t="s">
        <v>560</v>
      </c>
      <c r="E87" t="s">
        <v>986</v>
      </c>
      <c r="F87">
        <v>246</v>
      </c>
      <c r="G87" t="s">
        <v>987</v>
      </c>
      <c r="H87" t="s">
        <v>988</v>
      </c>
    </row>
    <row r="88" spans="1:8" hidden="1">
      <c r="A88" t="s">
        <v>1995</v>
      </c>
      <c r="B88" t="s">
        <v>990</v>
      </c>
      <c r="C88" t="s">
        <v>989</v>
      </c>
      <c r="D88" t="s">
        <v>560</v>
      </c>
      <c r="E88" t="s">
        <v>991</v>
      </c>
      <c r="F88">
        <v>250</v>
      </c>
      <c r="G88" t="s">
        <v>992</v>
      </c>
      <c r="H88" t="s">
        <v>993</v>
      </c>
    </row>
    <row r="89" spans="1:8" hidden="1">
      <c r="A89" t="s">
        <v>994</v>
      </c>
      <c r="B89" t="s">
        <v>996</v>
      </c>
      <c r="C89" t="s">
        <v>1996</v>
      </c>
      <c r="D89" t="s">
        <v>995</v>
      </c>
      <c r="E89" t="s">
        <v>997</v>
      </c>
      <c r="F89">
        <v>254</v>
      </c>
      <c r="G89" t="s">
        <v>998</v>
      </c>
      <c r="H89" t="s">
        <v>999</v>
      </c>
    </row>
    <row r="90" spans="1:8" hidden="1">
      <c r="A90" t="s">
        <v>1000</v>
      </c>
      <c r="B90" t="s">
        <v>1001</v>
      </c>
      <c r="C90" t="s">
        <v>1997</v>
      </c>
      <c r="D90" t="s">
        <v>995</v>
      </c>
      <c r="E90" t="s">
        <v>1002</v>
      </c>
      <c r="F90">
        <v>258</v>
      </c>
      <c r="G90" t="s">
        <v>1003</v>
      </c>
      <c r="H90" t="s">
        <v>1004</v>
      </c>
    </row>
    <row r="91" spans="1:8" hidden="1">
      <c r="A91" t="s">
        <v>1998</v>
      </c>
      <c r="B91" t="s">
        <v>1005</v>
      </c>
      <c r="C91" t="s">
        <v>1999</v>
      </c>
      <c r="D91" t="s">
        <v>995</v>
      </c>
      <c r="E91" t="s">
        <v>1006</v>
      </c>
      <c r="F91">
        <v>260</v>
      </c>
      <c r="G91" t="s">
        <v>1007</v>
      </c>
      <c r="H91" t="s">
        <v>1008</v>
      </c>
    </row>
    <row r="92" spans="1:8" hidden="1">
      <c r="A92" t="s">
        <v>1009</v>
      </c>
      <c r="B92" t="s">
        <v>1011</v>
      </c>
      <c r="C92" t="s">
        <v>1010</v>
      </c>
      <c r="D92" t="s">
        <v>560</v>
      </c>
      <c r="E92" t="s">
        <v>1012</v>
      </c>
      <c r="F92">
        <v>266</v>
      </c>
      <c r="G92" t="s">
        <v>1013</v>
      </c>
      <c r="H92" t="s">
        <v>1014</v>
      </c>
    </row>
    <row r="93" spans="1:8" hidden="1">
      <c r="A93" t="s">
        <v>1015</v>
      </c>
      <c r="B93" t="s">
        <v>1017</v>
      </c>
      <c r="C93" t="s">
        <v>1016</v>
      </c>
      <c r="D93" t="s">
        <v>560</v>
      </c>
      <c r="E93" t="s">
        <v>1018</v>
      </c>
      <c r="F93">
        <v>270</v>
      </c>
      <c r="G93" t="s">
        <v>1019</v>
      </c>
      <c r="H93" t="s">
        <v>1020</v>
      </c>
    </row>
    <row r="94" spans="1:8" hidden="1">
      <c r="A94" t="s">
        <v>1021</v>
      </c>
      <c r="B94" t="s">
        <v>1022</v>
      </c>
      <c r="C94" t="s">
        <v>2000</v>
      </c>
      <c r="D94" t="s">
        <v>560</v>
      </c>
      <c r="E94" t="s">
        <v>1023</v>
      </c>
      <c r="F94">
        <v>268</v>
      </c>
      <c r="G94" t="s">
        <v>1024</v>
      </c>
      <c r="H94" t="s">
        <v>1025</v>
      </c>
    </row>
    <row r="95" spans="1:8" hidden="1">
      <c r="A95" t="s">
        <v>1026</v>
      </c>
      <c r="B95" t="s">
        <v>1028</v>
      </c>
      <c r="C95" t="s">
        <v>1027</v>
      </c>
      <c r="D95" t="s">
        <v>560</v>
      </c>
      <c r="E95" t="s">
        <v>1029</v>
      </c>
      <c r="F95">
        <v>276</v>
      </c>
      <c r="G95" t="s">
        <v>1030</v>
      </c>
      <c r="H95" t="s">
        <v>1031</v>
      </c>
    </row>
    <row r="96" spans="1:8" hidden="1">
      <c r="A96" t="s">
        <v>1032</v>
      </c>
      <c r="B96" t="s">
        <v>1034</v>
      </c>
      <c r="C96" t="s">
        <v>1033</v>
      </c>
      <c r="D96" t="s">
        <v>560</v>
      </c>
      <c r="E96" t="s">
        <v>1035</v>
      </c>
      <c r="F96">
        <v>288</v>
      </c>
      <c r="G96" t="s">
        <v>1036</v>
      </c>
      <c r="H96" t="s">
        <v>1037</v>
      </c>
    </row>
    <row r="97" spans="1:8" hidden="1">
      <c r="A97" t="s">
        <v>1038</v>
      </c>
      <c r="B97" t="s">
        <v>1039</v>
      </c>
      <c r="C97" t="s">
        <v>2001</v>
      </c>
      <c r="D97" t="s">
        <v>602</v>
      </c>
      <c r="E97" t="s">
        <v>1040</v>
      </c>
      <c r="F97">
        <v>292</v>
      </c>
      <c r="G97" t="s">
        <v>1041</v>
      </c>
      <c r="H97" t="s">
        <v>1042</v>
      </c>
    </row>
    <row r="98" spans="1:8" hidden="1">
      <c r="A98" t="s">
        <v>1043</v>
      </c>
    </row>
    <row r="99" spans="1:8" hidden="1">
      <c r="A99" t="s">
        <v>1044</v>
      </c>
      <c r="B99" t="s">
        <v>1046</v>
      </c>
      <c r="C99" t="s">
        <v>1045</v>
      </c>
      <c r="D99" t="s">
        <v>560</v>
      </c>
      <c r="E99" t="s">
        <v>1047</v>
      </c>
      <c r="F99">
        <v>300</v>
      </c>
      <c r="G99" t="s">
        <v>1048</v>
      </c>
      <c r="H99" t="s">
        <v>1049</v>
      </c>
    </row>
    <row r="100" spans="1:8" hidden="1">
      <c r="A100" t="s">
        <v>1050</v>
      </c>
      <c r="B100" t="s">
        <v>1051</v>
      </c>
      <c r="C100" t="s">
        <v>2002</v>
      </c>
      <c r="D100" t="s">
        <v>972</v>
      </c>
      <c r="E100" t="s">
        <v>1052</v>
      </c>
      <c r="F100">
        <v>304</v>
      </c>
      <c r="G100" t="s">
        <v>1053</v>
      </c>
      <c r="H100" t="s">
        <v>1054</v>
      </c>
    </row>
    <row r="101" spans="1:8" hidden="1">
      <c r="A101" t="s">
        <v>1055</v>
      </c>
      <c r="B101" t="s">
        <v>1056</v>
      </c>
      <c r="C101" t="s">
        <v>2003</v>
      </c>
      <c r="D101" t="s">
        <v>560</v>
      </c>
      <c r="E101" t="s">
        <v>1057</v>
      </c>
      <c r="F101">
        <v>308</v>
      </c>
      <c r="G101" t="s">
        <v>1058</v>
      </c>
      <c r="H101" t="s">
        <v>1059</v>
      </c>
    </row>
    <row r="102" spans="1:8" hidden="1">
      <c r="A102" t="s">
        <v>1060</v>
      </c>
      <c r="B102" t="s">
        <v>1061</v>
      </c>
      <c r="C102" t="s">
        <v>2004</v>
      </c>
      <c r="D102" t="s">
        <v>995</v>
      </c>
      <c r="E102" t="s">
        <v>1062</v>
      </c>
      <c r="F102">
        <v>312</v>
      </c>
      <c r="G102" t="s">
        <v>1063</v>
      </c>
      <c r="H102" t="s">
        <v>1064</v>
      </c>
    </row>
    <row r="103" spans="1:8" hidden="1">
      <c r="A103" t="s">
        <v>1065</v>
      </c>
      <c r="B103" t="s">
        <v>1066</v>
      </c>
      <c r="C103" t="s">
        <v>2005</v>
      </c>
      <c r="D103" t="s">
        <v>584</v>
      </c>
      <c r="E103" t="s">
        <v>1067</v>
      </c>
      <c r="F103">
        <v>316</v>
      </c>
      <c r="G103" t="s">
        <v>1068</v>
      </c>
      <c r="H103" t="s">
        <v>1069</v>
      </c>
    </row>
    <row r="104" spans="1:8" hidden="1">
      <c r="A104" t="s">
        <v>1070</v>
      </c>
      <c r="B104" t="s">
        <v>1072</v>
      </c>
      <c r="C104" t="s">
        <v>1071</v>
      </c>
      <c r="D104" t="s">
        <v>560</v>
      </c>
      <c r="E104" t="s">
        <v>1073</v>
      </c>
      <c r="F104">
        <v>320</v>
      </c>
      <c r="G104" t="s">
        <v>1074</v>
      </c>
      <c r="H104" t="s">
        <v>1075</v>
      </c>
    </row>
    <row r="105" spans="1:8" hidden="1">
      <c r="A105" t="s">
        <v>1076</v>
      </c>
      <c r="B105" t="s">
        <v>1078</v>
      </c>
      <c r="C105" t="s">
        <v>2006</v>
      </c>
      <c r="D105" t="s">
        <v>1077</v>
      </c>
      <c r="E105" t="s">
        <v>1079</v>
      </c>
      <c r="F105">
        <v>831</v>
      </c>
      <c r="G105" t="s">
        <v>1080</v>
      </c>
      <c r="H105" t="s">
        <v>1081</v>
      </c>
    </row>
    <row r="106" spans="1:8" hidden="1">
      <c r="A106" t="s">
        <v>1082</v>
      </c>
      <c r="B106" t="s">
        <v>1084</v>
      </c>
      <c r="C106" t="s">
        <v>1083</v>
      </c>
      <c r="D106" t="s">
        <v>560</v>
      </c>
      <c r="E106" t="s">
        <v>1085</v>
      </c>
      <c r="F106">
        <v>324</v>
      </c>
      <c r="G106" t="s">
        <v>1086</v>
      </c>
      <c r="H106" t="s">
        <v>1087</v>
      </c>
    </row>
    <row r="107" spans="1:8" hidden="1">
      <c r="A107" t="s">
        <v>1088</v>
      </c>
      <c r="B107" t="s">
        <v>1090</v>
      </c>
      <c r="C107" t="s">
        <v>1089</v>
      </c>
      <c r="D107" t="s">
        <v>560</v>
      </c>
      <c r="E107" t="s">
        <v>1091</v>
      </c>
      <c r="F107">
        <v>624</v>
      </c>
      <c r="G107" t="s">
        <v>1092</v>
      </c>
      <c r="H107" t="s">
        <v>1093</v>
      </c>
    </row>
    <row r="108" spans="1:8" hidden="1">
      <c r="A108" t="s">
        <v>1094</v>
      </c>
      <c r="B108" t="s">
        <v>1096</v>
      </c>
      <c r="C108" t="s">
        <v>1095</v>
      </c>
      <c r="D108" t="s">
        <v>560</v>
      </c>
      <c r="E108" t="s">
        <v>1097</v>
      </c>
      <c r="F108">
        <v>328</v>
      </c>
      <c r="G108" t="s">
        <v>1098</v>
      </c>
      <c r="H108" t="s">
        <v>1099</v>
      </c>
    </row>
    <row r="109" spans="1:8" hidden="1">
      <c r="A109" t="s">
        <v>1100</v>
      </c>
      <c r="B109" t="s">
        <v>1102</v>
      </c>
      <c r="C109" t="s">
        <v>1101</v>
      </c>
      <c r="D109" t="s">
        <v>560</v>
      </c>
      <c r="E109" t="s">
        <v>1103</v>
      </c>
      <c r="F109">
        <v>332</v>
      </c>
      <c r="G109" t="s">
        <v>1104</v>
      </c>
      <c r="H109" t="s">
        <v>1105</v>
      </c>
    </row>
    <row r="110" spans="1:8" hidden="1">
      <c r="A110" t="s">
        <v>1106</v>
      </c>
      <c r="B110" t="s">
        <v>1107</v>
      </c>
      <c r="C110" t="s">
        <v>2007</v>
      </c>
      <c r="D110" t="s">
        <v>538</v>
      </c>
      <c r="E110" t="s">
        <v>1108</v>
      </c>
      <c r="F110">
        <v>334</v>
      </c>
      <c r="G110" t="s">
        <v>1109</v>
      </c>
      <c r="H110" t="s">
        <v>1110</v>
      </c>
    </row>
    <row r="111" spans="1:8" hidden="1">
      <c r="A111" t="s">
        <v>2008</v>
      </c>
      <c r="B111" t="s">
        <v>1112</v>
      </c>
      <c r="C111" t="s">
        <v>2009</v>
      </c>
      <c r="D111" t="s">
        <v>1111</v>
      </c>
      <c r="E111" t="s">
        <v>1113</v>
      </c>
      <c r="F111">
        <v>336</v>
      </c>
      <c r="G111" t="s">
        <v>1114</v>
      </c>
      <c r="H111" t="s">
        <v>1115</v>
      </c>
    </row>
    <row r="112" spans="1:8" hidden="1">
      <c r="A112" t="s">
        <v>1116</v>
      </c>
      <c r="B112" t="s">
        <v>1118</v>
      </c>
      <c r="C112" t="s">
        <v>1117</v>
      </c>
      <c r="D112" t="s">
        <v>560</v>
      </c>
      <c r="E112" t="s">
        <v>1119</v>
      </c>
      <c r="F112">
        <v>340</v>
      </c>
      <c r="G112" t="s">
        <v>1120</v>
      </c>
      <c r="H112" t="s">
        <v>1121</v>
      </c>
    </row>
    <row r="113" spans="1:8" hidden="1">
      <c r="A113" t="s">
        <v>1122</v>
      </c>
      <c r="B113" t="s">
        <v>1123</v>
      </c>
      <c r="C113" t="s">
        <v>2010</v>
      </c>
      <c r="D113" t="s">
        <v>541</v>
      </c>
      <c r="E113" t="s">
        <v>1124</v>
      </c>
      <c r="F113">
        <v>344</v>
      </c>
      <c r="G113" t="s">
        <v>1125</v>
      </c>
      <c r="H113" t="s">
        <v>1126</v>
      </c>
    </row>
    <row r="114" spans="1:8" hidden="1">
      <c r="A114" t="s">
        <v>1127</v>
      </c>
      <c r="B114" t="s">
        <v>1128</v>
      </c>
      <c r="C114" t="s">
        <v>2011</v>
      </c>
      <c r="D114" t="s">
        <v>560</v>
      </c>
      <c r="E114" t="s">
        <v>1129</v>
      </c>
      <c r="F114">
        <v>348</v>
      </c>
      <c r="G114" t="s">
        <v>1130</v>
      </c>
      <c r="H114" t="s">
        <v>1131</v>
      </c>
    </row>
    <row r="115" spans="1:8" hidden="1">
      <c r="A115" t="s">
        <v>1132</v>
      </c>
      <c r="B115" t="s">
        <v>1133</v>
      </c>
      <c r="C115" t="s">
        <v>2012</v>
      </c>
      <c r="D115" t="s">
        <v>560</v>
      </c>
      <c r="E115" t="s">
        <v>1134</v>
      </c>
      <c r="F115">
        <v>352</v>
      </c>
      <c r="G115" t="s">
        <v>1135</v>
      </c>
      <c r="H115" t="s">
        <v>1136</v>
      </c>
    </row>
    <row r="116" spans="1:8" hidden="1">
      <c r="A116" t="s">
        <v>1137</v>
      </c>
      <c r="B116" t="s">
        <v>1139</v>
      </c>
      <c r="C116" t="s">
        <v>1138</v>
      </c>
      <c r="D116" t="s">
        <v>560</v>
      </c>
      <c r="E116" t="s">
        <v>1140</v>
      </c>
      <c r="F116">
        <v>356</v>
      </c>
      <c r="G116" t="s">
        <v>1141</v>
      </c>
      <c r="H116" t="s">
        <v>1142</v>
      </c>
    </row>
    <row r="117" spans="1:8" hidden="1">
      <c r="A117" t="s">
        <v>1143</v>
      </c>
      <c r="B117" t="s">
        <v>1145</v>
      </c>
      <c r="C117" t="s">
        <v>1144</v>
      </c>
      <c r="D117" t="s">
        <v>560</v>
      </c>
      <c r="E117" t="s">
        <v>1146</v>
      </c>
      <c r="F117">
        <v>360</v>
      </c>
      <c r="G117" t="s">
        <v>1147</v>
      </c>
      <c r="H117" t="s">
        <v>1148</v>
      </c>
    </row>
    <row r="118" spans="1:8" hidden="1">
      <c r="A118" t="s">
        <v>2013</v>
      </c>
      <c r="B118" t="s">
        <v>1150</v>
      </c>
      <c r="C118" t="s">
        <v>1149</v>
      </c>
      <c r="D118" t="s">
        <v>560</v>
      </c>
      <c r="E118" t="s">
        <v>1151</v>
      </c>
      <c r="F118">
        <v>364</v>
      </c>
      <c r="G118" t="s">
        <v>1152</v>
      </c>
      <c r="H118" t="s">
        <v>1153</v>
      </c>
    </row>
    <row r="119" spans="1:8" hidden="1">
      <c r="A119" t="s">
        <v>1154</v>
      </c>
      <c r="B119" t="s">
        <v>1156</v>
      </c>
      <c r="C119" t="s">
        <v>1155</v>
      </c>
      <c r="D119" t="s">
        <v>560</v>
      </c>
      <c r="E119" t="s">
        <v>1157</v>
      </c>
      <c r="F119">
        <v>368</v>
      </c>
      <c r="G119" t="s">
        <v>1158</v>
      </c>
      <c r="H119" t="s">
        <v>1159</v>
      </c>
    </row>
    <row r="120" spans="1:8" hidden="1">
      <c r="A120" t="s">
        <v>1160</v>
      </c>
      <c r="B120" t="s">
        <v>1161</v>
      </c>
      <c r="C120" t="s">
        <v>2014</v>
      </c>
      <c r="D120" t="s">
        <v>560</v>
      </c>
      <c r="E120" t="s">
        <v>1162</v>
      </c>
      <c r="F120">
        <v>372</v>
      </c>
      <c r="G120" t="s">
        <v>1163</v>
      </c>
      <c r="H120" t="s">
        <v>1164</v>
      </c>
    </row>
    <row r="121" spans="1:8" hidden="1">
      <c r="A121" t="s">
        <v>1165</v>
      </c>
      <c r="B121" t="s">
        <v>1166</v>
      </c>
      <c r="C121" t="s">
        <v>2015</v>
      </c>
      <c r="D121" t="s">
        <v>1077</v>
      </c>
      <c r="E121" t="s">
        <v>1167</v>
      </c>
      <c r="F121">
        <v>833</v>
      </c>
      <c r="G121" t="s">
        <v>1168</v>
      </c>
      <c r="H121" t="s">
        <v>1169</v>
      </c>
    </row>
    <row r="122" spans="1:8" hidden="1">
      <c r="A122" t="s">
        <v>1170</v>
      </c>
      <c r="B122" t="s">
        <v>1172</v>
      </c>
      <c r="C122" t="s">
        <v>1171</v>
      </c>
      <c r="D122" t="s">
        <v>560</v>
      </c>
      <c r="E122" t="s">
        <v>1173</v>
      </c>
      <c r="F122">
        <v>376</v>
      </c>
      <c r="G122" t="s">
        <v>1174</v>
      </c>
      <c r="H122" t="s">
        <v>1175</v>
      </c>
    </row>
    <row r="123" spans="1:8" hidden="1">
      <c r="A123" t="s">
        <v>1176</v>
      </c>
      <c r="B123" t="s">
        <v>1178</v>
      </c>
      <c r="C123" t="s">
        <v>1177</v>
      </c>
      <c r="D123" t="s">
        <v>560</v>
      </c>
      <c r="E123" t="s">
        <v>1179</v>
      </c>
      <c r="F123">
        <v>380</v>
      </c>
      <c r="G123" t="s">
        <v>1180</v>
      </c>
      <c r="H123" t="s">
        <v>1181</v>
      </c>
    </row>
    <row r="124" spans="1:8" hidden="1">
      <c r="A124" t="s">
        <v>1182</v>
      </c>
    </row>
    <row r="125" spans="1:8" hidden="1">
      <c r="A125" t="s">
        <v>1183</v>
      </c>
      <c r="B125" t="s">
        <v>1184</v>
      </c>
      <c r="C125" t="s">
        <v>2016</v>
      </c>
      <c r="D125" t="s">
        <v>560</v>
      </c>
      <c r="E125" t="s">
        <v>1185</v>
      </c>
      <c r="F125">
        <v>388</v>
      </c>
      <c r="G125" t="s">
        <v>1186</v>
      </c>
      <c r="H125" t="s">
        <v>1187</v>
      </c>
    </row>
    <row r="126" spans="1:8" hidden="1">
      <c r="A126" t="s">
        <v>1188</v>
      </c>
    </row>
    <row r="127" spans="1:8" hidden="1">
      <c r="A127" t="s">
        <v>1189</v>
      </c>
      <c r="B127" t="s">
        <v>222</v>
      </c>
      <c r="C127" t="s">
        <v>2017</v>
      </c>
      <c r="D127" t="s">
        <v>560</v>
      </c>
      <c r="E127" t="s">
        <v>1190</v>
      </c>
      <c r="F127">
        <v>392</v>
      </c>
      <c r="G127" t="s">
        <v>1191</v>
      </c>
      <c r="H127" t="s">
        <v>1192</v>
      </c>
    </row>
    <row r="128" spans="1:8" hidden="1">
      <c r="A128" t="s">
        <v>1193</v>
      </c>
      <c r="B128" t="s">
        <v>1194</v>
      </c>
      <c r="C128" t="s">
        <v>2018</v>
      </c>
      <c r="D128" t="s">
        <v>1077</v>
      </c>
      <c r="E128" t="s">
        <v>1195</v>
      </c>
      <c r="F128">
        <v>832</v>
      </c>
      <c r="G128" t="s">
        <v>1196</v>
      </c>
      <c r="H128" t="s">
        <v>1197</v>
      </c>
    </row>
    <row r="129" spans="1:8" hidden="1">
      <c r="A129" t="s">
        <v>1198</v>
      </c>
      <c r="B129" t="s">
        <v>1200</v>
      </c>
      <c r="C129" t="s">
        <v>1199</v>
      </c>
      <c r="D129" t="s">
        <v>560</v>
      </c>
      <c r="E129" t="s">
        <v>1201</v>
      </c>
      <c r="F129">
        <v>400</v>
      </c>
      <c r="G129" t="s">
        <v>1202</v>
      </c>
      <c r="H129" t="s">
        <v>1203</v>
      </c>
    </row>
    <row r="130" spans="1:8" hidden="1">
      <c r="A130" t="s">
        <v>1204</v>
      </c>
      <c r="B130" t="s">
        <v>1206</v>
      </c>
      <c r="C130" t="s">
        <v>1205</v>
      </c>
      <c r="D130" t="s">
        <v>560</v>
      </c>
      <c r="E130" t="s">
        <v>1207</v>
      </c>
      <c r="F130">
        <v>398</v>
      </c>
      <c r="G130" t="s">
        <v>1208</v>
      </c>
      <c r="H130" t="s">
        <v>1209</v>
      </c>
    </row>
    <row r="131" spans="1:8" hidden="1">
      <c r="A131" t="s">
        <v>1210</v>
      </c>
      <c r="B131" t="s">
        <v>1212</v>
      </c>
      <c r="C131" t="s">
        <v>1211</v>
      </c>
      <c r="D131" t="s">
        <v>560</v>
      </c>
      <c r="E131" t="s">
        <v>1213</v>
      </c>
      <c r="F131">
        <v>404</v>
      </c>
      <c r="G131" t="s">
        <v>1214</v>
      </c>
      <c r="H131" t="s">
        <v>1215</v>
      </c>
    </row>
    <row r="132" spans="1:8" hidden="1">
      <c r="A132" t="s">
        <v>1216</v>
      </c>
      <c r="B132" t="s">
        <v>1218</v>
      </c>
      <c r="C132" t="s">
        <v>1217</v>
      </c>
      <c r="D132" t="s">
        <v>560</v>
      </c>
      <c r="E132" t="s">
        <v>1219</v>
      </c>
      <c r="F132">
        <v>296</v>
      </c>
      <c r="G132" t="s">
        <v>1220</v>
      </c>
      <c r="H132" t="s">
        <v>1221</v>
      </c>
    </row>
    <row r="133" spans="1:8" hidden="1">
      <c r="A133" t="s">
        <v>2019</v>
      </c>
      <c r="B133" t="s">
        <v>1223</v>
      </c>
      <c r="C133" t="s">
        <v>1222</v>
      </c>
      <c r="D133" t="s">
        <v>560</v>
      </c>
      <c r="E133" t="s">
        <v>1224</v>
      </c>
      <c r="F133">
        <v>408</v>
      </c>
      <c r="G133" t="s">
        <v>1225</v>
      </c>
      <c r="H133" t="s">
        <v>1226</v>
      </c>
    </row>
    <row r="134" spans="1:8" hidden="1">
      <c r="A134" t="s">
        <v>2020</v>
      </c>
      <c r="B134" t="s">
        <v>116</v>
      </c>
      <c r="C134" t="s">
        <v>1227</v>
      </c>
      <c r="D134" t="s">
        <v>560</v>
      </c>
      <c r="E134" t="s">
        <v>1228</v>
      </c>
      <c r="F134">
        <v>410</v>
      </c>
      <c r="G134" t="s">
        <v>1229</v>
      </c>
      <c r="H134" t="s">
        <v>1230</v>
      </c>
    </row>
    <row r="135" spans="1:8" hidden="1">
      <c r="A135" t="s">
        <v>1231</v>
      </c>
      <c r="B135" t="s">
        <v>1233</v>
      </c>
      <c r="C135" t="s">
        <v>1232</v>
      </c>
      <c r="D135" t="s">
        <v>560</v>
      </c>
      <c r="E135" t="s">
        <v>1234</v>
      </c>
      <c r="F135">
        <v>414</v>
      </c>
      <c r="G135" t="s">
        <v>1235</v>
      </c>
      <c r="H135" t="s">
        <v>1236</v>
      </c>
    </row>
    <row r="136" spans="1:8" hidden="1">
      <c r="A136" t="s">
        <v>1237</v>
      </c>
      <c r="B136" t="s">
        <v>1239</v>
      </c>
      <c r="C136" t="s">
        <v>1238</v>
      </c>
      <c r="D136" t="s">
        <v>560</v>
      </c>
      <c r="E136" t="s">
        <v>1240</v>
      </c>
      <c r="F136">
        <v>417</v>
      </c>
      <c r="G136" t="s">
        <v>1241</v>
      </c>
      <c r="H136" t="s">
        <v>1242</v>
      </c>
    </row>
    <row r="137" spans="1:8" hidden="1">
      <c r="A137" t="s">
        <v>2021</v>
      </c>
      <c r="B137" t="s">
        <v>1244</v>
      </c>
      <c r="C137" t="s">
        <v>1243</v>
      </c>
      <c r="D137" t="s">
        <v>560</v>
      </c>
      <c r="E137" t="s">
        <v>1245</v>
      </c>
      <c r="F137">
        <v>418</v>
      </c>
      <c r="G137" t="s">
        <v>1246</v>
      </c>
      <c r="H137" t="s">
        <v>1247</v>
      </c>
    </row>
    <row r="138" spans="1:8" hidden="1">
      <c r="A138" t="s">
        <v>1248</v>
      </c>
      <c r="B138" t="s">
        <v>1250</v>
      </c>
      <c r="C138" t="s">
        <v>1249</v>
      </c>
      <c r="D138" t="s">
        <v>560</v>
      </c>
      <c r="E138" t="s">
        <v>1251</v>
      </c>
      <c r="F138">
        <v>428</v>
      </c>
      <c r="G138" t="s">
        <v>1252</v>
      </c>
      <c r="H138" t="s">
        <v>1253</v>
      </c>
    </row>
    <row r="139" spans="1:8" hidden="1">
      <c r="A139" t="s">
        <v>1254</v>
      </c>
      <c r="B139" t="s">
        <v>1256</v>
      </c>
      <c r="C139" t="s">
        <v>1255</v>
      </c>
      <c r="D139" t="s">
        <v>560</v>
      </c>
      <c r="E139" t="s">
        <v>1257</v>
      </c>
      <c r="F139">
        <v>422</v>
      </c>
      <c r="G139" t="s">
        <v>1258</v>
      </c>
      <c r="H139" t="s">
        <v>1259</v>
      </c>
    </row>
    <row r="140" spans="1:8" hidden="1">
      <c r="A140" t="s">
        <v>1260</v>
      </c>
      <c r="B140" t="s">
        <v>1262</v>
      </c>
      <c r="C140" t="s">
        <v>1261</v>
      </c>
      <c r="D140" t="s">
        <v>560</v>
      </c>
      <c r="E140" t="s">
        <v>1263</v>
      </c>
      <c r="F140">
        <v>426</v>
      </c>
      <c r="G140" t="s">
        <v>1264</v>
      </c>
      <c r="H140" t="s">
        <v>1265</v>
      </c>
    </row>
    <row r="141" spans="1:8" hidden="1">
      <c r="A141" t="s">
        <v>1266</v>
      </c>
      <c r="B141" t="s">
        <v>1268</v>
      </c>
      <c r="C141" t="s">
        <v>1267</v>
      </c>
      <c r="D141" t="s">
        <v>560</v>
      </c>
      <c r="E141" t="s">
        <v>1269</v>
      </c>
      <c r="F141">
        <v>430</v>
      </c>
      <c r="G141" t="s">
        <v>1270</v>
      </c>
      <c r="H141" t="s">
        <v>1271</v>
      </c>
    </row>
    <row r="142" spans="1:8" hidden="1">
      <c r="A142" t="s">
        <v>1272</v>
      </c>
      <c r="B142" t="s">
        <v>1274</v>
      </c>
      <c r="C142" t="s">
        <v>1273</v>
      </c>
      <c r="D142" t="s">
        <v>560</v>
      </c>
      <c r="E142" t="s">
        <v>1275</v>
      </c>
      <c r="F142">
        <v>434</v>
      </c>
      <c r="G142" t="s">
        <v>1276</v>
      </c>
      <c r="H142" t="s">
        <v>1277</v>
      </c>
    </row>
    <row r="143" spans="1:8" hidden="1">
      <c r="A143" t="s">
        <v>1278</v>
      </c>
      <c r="B143" t="s">
        <v>1280</v>
      </c>
      <c r="C143" t="s">
        <v>1279</v>
      </c>
      <c r="D143" t="s">
        <v>560</v>
      </c>
      <c r="E143" t="s">
        <v>1281</v>
      </c>
      <c r="F143">
        <v>438</v>
      </c>
      <c r="G143" t="s">
        <v>1282</v>
      </c>
      <c r="H143" t="s">
        <v>1283</v>
      </c>
    </row>
    <row r="144" spans="1:8" hidden="1">
      <c r="A144" t="s">
        <v>1284</v>
      </c>
      <c r="B144" t="s">
        <v>1286</v>
      </c>
      <c r="C144" t="s">
        <v>1285</v>
      </c>
      <c r="D144" t="s">
        <v>560</v>
      </c>
      <c r="E144" t="s">
        <v>1287</v>
      </c>
      <c r="F144">
        <v>440</v>
      </c>
      <c r="G144" t="s">
        <v>1288</v>
      </c>
      <c r="H144" t="s">
        <v>1289</v>
      </c>
    </row>
    <row r="145" spans="1:8" hidden="1">
      <c r="A145" t="s">
        <v>1290</v>
      </c>
      <c r="B145" t="s">
        <v>1292</v>
      </c>
      <c r="C145" t="s">
        <v>1291</v>
      </c>
      <c r="D145" t="s">
        <v>560</v>
      </c>
      <c r="E145" t="s">
        <v>1293</v>
      </c>
      <c r="F145">
        <v>442</v>
      </c>
      <c r="G145" t="s">
        <v>1294</v>
      </c>
      <c r="H145" t="s">
        <v>1295</v>
      </c>
    </row>
    <row r="146" spans="1:8" hidden="1">
      <c r="A146" t="s">
        <v>2022</v>
      </c>
      <c r="B146" t="s">
        <v>1296</v>
      </c>
      <c r="C146" t="s">
        <v>2023</v>
      </c>
      <c r="D146" t="s">
        <v>541</v>
      </c>
      <c r="E146" t="s">
        <v>1297</v>
      </c>
      <c r="F146">
        <v>446</v>
      </c>
      <c r="G146" t="s">
        <v>1298</v>
      </c>
      <c r="H146" t="s">
        <v>1299</v>
      </c>
    </row>
    <row r="147" spans="1:8" hidden="1">
      <c r="A147" t="s">
        <v>1300</v>
      </c>
      <c r="B147" t="s">
        <v>1302</v>
      </c>
      <c r="C147" t="s">
        <v>1301</v>
      </c>
      <c r="D147" t="s">
        <v>560</v>
      </c>
      <c r="E147" t="s">
        <v>1303</v>
      </c>
      <c r="F147">
        <v>450</v>
      </c>
      <c r="G147" t="s">
        <v>1304</v>
      </c>
      <c r="H147" t="s">
        <v>1305</v>
      </c>
    </row>
    <row r="148" spans="1:8" hidden="1">
      <c r="A148" t="s">
        <v>1306</v>
      </c>
      <c r="B148" t="s">
        <v>1308</v>
      </c>
      <c r="C148" t="s">
        <v>1307</v>
      </c>
      <c r="D148" t="s">
        <v>560</v>
      </c>
      <c r="E148" t="s">
        <v>1309</v>
      </c>
      <c r="F148">
        <v>454</v>
      </c>
      <c r="G148" t="s">
        <v>1310</v>
      </c>
      <c r="H148" t="s">
        <v>1311</v>
      </c>
    </row>
    <row r="149" spans="1:8" hidden="1">
      <c r="A149" t="s">
        <v>1312</v>
      </c>
      <c r="B149" t="s">
        <v>1313</v>
      </c>
      <c r="C149" t="s">
        <v>2024</v>
      </c>
      <c r="D149" t="s">
        <v>560</v>
      </c>
      <c r="E149" t="s">
        <v>1314</v>
      </c>
      <c r="F149">
        <v>458</v>
      </c>
      <c r="G149" t="s">
        <v>1315</v>
      </c>
      <c r="H149" t="s">
        <v>1316</v>
      </c>
    </row>
    <row r="150" spans="1:8" hidden="1">
      <c r="A150" t="s">
        <v>1317</v>
      </c>
      <c r="B150" t="s">
        <v>1319</v>
      </c>
      <c r="C150" t="s">
        <v>1318</v>
      </c>
      <c r="D150" t="s">
        <v>560</v>
      </c>
      <c r="E150" t="s">
        <v>1320</v>
      </c>
      <c r="F150">
        <v>462</v>
      </c>
      <c r="G150" t="s">
        <v>1321</v>
      </c>
      <c r="H150" t="s">
        <v>1322</v>
      </c>
    </row>
    <row r="151" spans="1:8" hidden="1">
      <c r="A151" t="s">
        <v>1323</v>
      </c>
      <c r="B151" t="s">
        <v>1325</v>
      </c>
      <c r="C151" t="s">
        <v>1324</v>
      </c>
      <c r="D151" t="s">
        <v>560</v>
      </c>
      <c r="E151" t="s">
        <v>1326</v>
      </c>
      <c r="F151">
        <v>466</v>
      </c>
      <c r="G151" t="s">
        <v>1327</v>
      </c>
      <c r="H151" t="s">
        <v>1328</v>
      </c>
    </row>
    <row r="152" spans="1:8" hidden="1">
      <c r="A152" t="s">
        <v>1329</v>
      </c>
      <c r="B152" t="s">
        <v>1331</v>
      </c>
      <c r="C152" t="s">
        <v>1330</v>
      </c>
      <c r="D152" t="s">
        <v>560</v>
      </c>
      <c r="E152" t="s">
        <v>1332</v>
      </c>
      <c r="F152">
        <v>470</v>
      </c>
      <c r="G152" t="s">
        <v>1333</v>
      </c>
      <c r="H152" t="s">
        <v>1334</v>
      </c>
    </row>
    <row r="153" spans="1:8" hidden="1">
      <c r="A153" t="s">
        <v>1335</v>
      </c>
      <c r="B153" t="s">
        <v>1337</v>
      </c>
      <c r="C153" t="s">
        <v>1336</v>
      </c>
      <c r="D153" t="s">
        <v>560</v>
      </c>
      <c r="E153" t="s">
        <v>1338</v>
      </c>
      <c r="F153">
        <v>584</v>
      </c>
      <c r="G153" t="s">
        <v>1339</v>
      </c>
      <c r="H153" t="s">
        <v>1340</v>
      </c>
    </row>
    <row r="154" spans="1:8" hidden="1">
      <c r="A154" t="s">
        <v>1341</v>
      </c>
      <c r="B154" t="s">
        <v>1342</v>
      </c>
      <c r="C154" t="s">
        <v>2025</v>
      </c>
      <c r="D154" t="s">
        <v>995</v>
      </c>
      <c r="E154" t="s">
        <v>1343</v>
      </c>
      <c r="F154">
        <v>474</v>
      </c>
      <c r="G154" t="s">
        <v>1344</v>
      </c>
      <c r="H154" t="s">
        <v>1345</v>
      </c>
    </row>
    <row r="155" spans="1:8" hidden="1">
      <c r="A155" t="s">
        <v>1346</v>
      </c>
      <c r="B155" t="s">
        <v>1348</v>
      </c>
      <c r="C155" t="s">
        <v>1347</v>
      </c>
      <c r="D155" t="s">
        <v>560</v>
      </c>
      <c r="E155" t="s">
        <v>1349</v>
      </c>
      <c r="F155">
        <v>478</v>
      </c>
      <c r="G155" t="s">
        <v>1350</v>
      </c>
      <c r="H155" t="s">
        <v>1351</v>
      </c>
    </row>
    <row r="156" spans="1:8" hidden="1">
      <c r="A156" t="s">
        <v>1352</v>
      </c>
      <c r="B156" t="s">
        <v>1354</v>
      </c>
      <c r="C156" t="s">
        <v>1353</v>
      </c>
      <c r="D156" t="s">
        <v>560</v>
      </c>
      <c r="E156" t="s">
        <v>1355</v>
      </c>
      <c r="F156">
        <v>480</v>
      </c>
      <c r="G156" t="s">
        <v>1356</v>
      </c>
      <c r="H156" t="s">
        <v>1357</v>
      </c>
    </row>
    <row r="157" spans="1:8" hidden="1">
      <c r="A157" t="s">
        <v>1358</v>
      </c>
      <c r="B157" t="s">
        <v>1359</v>
      </c>
      <c r="C157" t="s">
        <v>2026</v>
      </c>
      <c r="D157" t="s">
        <v>995</v>
      </c>
      <c r="E157" t="s">
        <v>1360</v>
      </c>
      <c r="F157">
        <v>175</v>
      </c>
      <c r="G157" t="s">
        <v>1361</v>
      </c>
      <c r="H157" t="s">
        <v>1362</v>
      </c>
    </row>
    <row r="158" spans="1:8" hidden="1">
      <c r="A158" t="s">
        <v>1363</v>
      </c>
      <c r="B158" t="s">
        <v>46</v>
      </c>
      <c r="C158" t="s">
        <v>1364</v>
      </c>
      <c r="D158" t="s">
        <v>560</v>
      </c>
      <c r="E158" t="s">
        <v>1365</v>
      </c>
      <c r="F158">
        <v>484</v>
      </c>
      <c r="G158" t="s">
        <v>1366</v>
      </c>
      <c r="H158" t="s">
        <v>1367</v>
      </c>
    </row>
    <row r="159" spans="1:8" hidden="1">
      <c r="A159" t="s">
        <v>1368</v>
      </c>
      <c r="B159" t="s">
        <v>1370</v>
      </c>
      <c r="C159" t="s">
        <v>1369</v>
      </c>
      <c r="D159" t="s">
        <v>560</v>
      </c>
      <c r="E159" t="s">
        <v>1371</v>
      </c>
      <c r="F159">
        <v>583</v>
      </c>
      <c r="G159" t="s">
        <v>1372</v>
      </c>
      <c r="H159" t="s">
        <v>1373</v>
      </c>
    </row>
    <row r="160" spans="1:8" hidden="1">
      <c r="A160" t="s">
        <v>1374</v>
      </c>
      <c r="B160" t="s">
        <v>1376</v>
      </c>
      <c r="C160" t="s">
        <v>1375</v>
      </c>
      <c r="D160" t="s">
        <v>560</v>
      </c>
      <c r="E160" t="s">
        <v>1377</v>
      </c>
      <c r="F160">
        <v>498</v>
      </c>
      <c r="G160" t="s">
        <v>1378</v>
      </c>
      <c r="H160" t="s">
        <v>1379</v>
      </c>
    </row>
    <row r="161" spans="1:8" hidden="1">
      <c r="A161" t="s">
        <v>1380</v>
      </c>
      <c r="B161" t="s">
        <v>1382</v>
      </c>
      <c r="C161" t="s">
        <v>1381</v>
      </c>
      <c r="D161" t="s">
        <v>560</v>
      </c>
      <c r="E161" t="s">
        <v>1383</v>
      </c>
      <c r="F161">
        <v>492</v>
      </c>
      <c r="G161" t="s">
        <v>1384</v>
      </c>
      <c r="H161" t="s">
        <v>1385</v>
      </c>
    </row>
    <row r="162" spans="1:8" hidden="1">
      <c r="A162" t="s">
        <v>1386</v>
      </c>
      <c r="B162" t="s">
        <v>1387</v>
      </c>
      <c r="C162" t="s">
        <v>2027</v>
      </c>
      <c r="D162" t="s">
        <v>560</v>
      </c>
      <c r="E162" t="s">
        <v>1388</v>
      </c>
      <c r="F162">
        <v>496</v>
      </c>
      <c r="G162" t="s">
        <v>1389</v>
      </c>
      <c r="H162" t="s">
        <v>1390</v>
      </c>
    </row>
    <row r="163" spans="1:8" hidden="1">
      <c r="A163" t="s">
        <v>1391</v>
      </c>
      <c r="B163" t="s">
        <v>1392</v>
      </c>
      <c r="C163" t="s">
        <v>2028</v>
      </c>
      <c r="D163" t="s">
        <v>560</v>
      </c>
      <c r="E163" t="s">
        <v>1393</v>
      </c>
      <c r="F163">
        <v>499</v>
      </c>
      <c r="G163" t="s">
        <v>1394</v>
      </c>
      <c r="H163" t="s">
        <v>1395</v>
      </c>
    </row>
    <row r="164" spans="1:8" hidden="1">
      <c r="A164" t="s">
        <v>1396</v>
      </c>
      <c r="B164" t="s">
        <v>1397</v>
      </c>
      <c r="C164" t="s">
        <v>2029</v>
      </c>
      <c r="D164" t="s">
        <v>602</v>
      </c>
      <c r="E164" t="s">
        <v>1398</v>
      </c>
      <c r="F164">
        <v>500</v>
      </c>
      <c r="G164" t="s">
        <v>1399</v>
      </c>
      <c r="H164" t="s">
        <v>1400</v>
      </c>
    </row>
    <row r="165" spans="1:8" hidden="1">
      <c r="A165" t="s">
        <v>1401</v>
      </c>
      <c r="B165" t="s">
        <v>1403</v>
      </c>
      <c r="C165" t="s">
        <v>1402</v>
      </c>
      <c r="D165" t="s">
        <v>560</v>
      </c>
      <c r="E165" t="s">
        <v>1404</v>
      </c>
      <c r="F165">
        <v>504</v>
      </c>
      <c r="G165" t="s">
        <v>1405</v>
      </c>
      <c r="H165" t="s">
        <v>1406</v>
      </c>
    </row>
    <row r="166" spans="1:8" hidden="1">
      <c r="A166" t="s">
        <v>1407</v>
      </c>
      <c r="B166" t="s">
        <v>1409</v>
      </c>
      <c r="C166" t="s">
        <v>1408</v>
      </c>
      <c r="D166" t="s">
        <v>560</v>
      </c>
      <c r="E166" t="s">
        <v>1410</v>
      </c>
      <c r="F166">
        <v>508</v>
      </c>
      <c r="G166" t="s">
        <v>1411</v>
      </c>
      <c r="H166" t="s">
        <v>1412</v>
      </c>
    </row>
    <row r="167" spans="1:8" hidden="1">
      <c r="A167" t="s">
        <v>2030</v>
      </c>
      <c r="B167" t="s">
        <v>1413</v>
      </c>
      <c r="C167" t="s">
        <v>2031</v>
      </c>
      <c r="D167" t="s">
        <v>560</v>
      </c>
      <c r="E167" t="s">
        <v>1414</v>
      </c>
      <c r="F167">
        <v>104</v>
      </c>
      <c r="G167" t="s">
        <v>1415</v>
      </c>
      <c r="H167" t="s">
        <v>1416</v>
      </c>
    </row>
    <row r="168" spans="1:8" hidden="1">
      <c r="A168" t="s">
        <v>1417</v>
      </c>
      <c r="B168" t="s">
        <v>1419</v>
      </c>
      <c r="C168" t="s">
        <v>1418</v>
      </c>
      <c r="D168" t="s">
        <v>560</v>
      </c>
      <c r="E168" t="s">
        <v>1420</v>
      </c>
      <c r="F168">
        <v>516</v>
      </c>
      <c r="G168" t="s">
        <v>1421</v>
      </c>
      <c r="H168" t="s">
        <v>1422</v>
      </c>
    </row>
    <row r="169" spans="1:8" hidden="1">
      <c r="A169" t="s">
        <v>1423</v>
      </c>
      <c r="B169" t="s">
        <v>1425</v>
      </c>
      <c r="C169" t="s">
        <v>1424</v>
      </c>
      <c r="D169" t="s">
        <v>560</v>
      </c>
      <c r="E169" t="s">
        <v>1426</v>
      </c>
      <c r="F169">
        <v>520</v>
      </c>
      <c r="G169" t="s">
        <v>1427</v>
      </c>
      <c r="H169" t="s">
        <v>1428</v>
      </c>
    </row>
    <row r="170" spans="1:8" hidden="1">
      <c r="A170" t="s">
        <v>1429</v>
      </c>
      <c r="B170" t="s">
        <v>1430</v>
      </c>
      <c r="C170" t="s">
        <v>2032</v>
      </c>
      <c r="D170" t="s">
        <v>560</v>
      </c>
      <c r="E170" t="s">
        <v>1431</v>
      </c>
      <c r="F170">
        <v>524</v>
      </c>
      <c r="G170" t="s">
        <v>1432</v>
      </c>
      <c r="H170" t="s">
        <v>1433</v>
      </c>
    </row>
    <row r="171" spans="1:8" hidden="1">
      <c r="A171" t="s">
        <v>1434</v>
      </c>
      <c r="B171" t="s">
        <v>285</v>
      </c>
      <c r="C171" t="s">
        <v>1435</v>
      </c>
      <c r="D171" t="s">
        <v>560</v>
      </c>
      <c r="E171" t="s">
        <v>1436</v>
      </c>
      <c r="F171">
        <v>528</v>
      </c>
      <c r="G171" t="s">
        <v>1437</v>
      </c>
      <c r="H171" t="s">
        <v>1438</v>
      </c>
    </row>
    <row r="172" spans="1:8" hidden="1">
      <c r="A172" t="s">
        <v>1439</v>
      </c>
      <c r="B172" t="s">
        <v>1440</v>
      </c>
      <c r="C172" t="s">
        <v>2033</v>
      </c>
      <c r="D172" t="s">
        <v>995</v>
      </c>
      <c r="E172" t="s">
        <v>1441</v>
      </c>
      <c r="F172">
        <v>540</v>
      </c>
      <c r="G172" t="s">
        <v>1442</v>
      </c>
      <c r="H172" t="s">
        <v>1443</v>
      </c>
    </row>
    <row r="173" spans="1:8" hidden="1">
      <c r="A173" t="s">
        <v>1444</v>
      </c>
      <c r="B173" t="s">
        <v>111</v>
      </c>
      <c r="C173" t="s">
        <v>2034</v>
      </c>
      <c r="D173" t="s">
        <v>560</v>
      </c>
      <c r="E173" t="s">
        <v>1445</v>
      </c>
      <c r="F173">
        <v>554</v>
      </c>
      <c r="G173" t="s">
        <v>1446</v>
      </c>
      <c r="H173" t="s">
        <v>1447</v>
      </c>
    </row>
    <row r="174" spans="1:8" hidden="1">
      <c r="A174" t="s">
        <v>1448</v>
      </c>
      <c r="B174" t="s">
        <v>1450</v>
      </c>
      <c r="C174" t="s">
        <v>1449</v>
      </c>
      <c r="D174" t="s">
        <v>560</v>
      </c>
      <c r="E174" t="s">
        <v>1451</v>
      </c>
      <c r="F174">
        <v>558</v>
      </c>
      <c r="G174" t="s">
        <v>1452</v>
      </c>
      <c r="H174" t="s">
        <v>1453</v>
      </c>
    </row>
    <row r="175" spans="1:8" hidden="1">
      <c r="A175" t="s">
        <v>1454</v>
      </c>
      <c r="B175" t="s">
        <v>1456</v>
      </c>
      <c r="C175" t="s">
        <v>1455</v>
      </c>
      <c r="D175" t="s">
        <v>560</v>
      </c>
      <c r="E175" t="s">
        <v>1457</v>
      </c>
      <c r="F175">
        <v>562</v>
      </c>
      <c r="G175" t="s">
        <v>1458</v>
      </c>
      <c r="H175" t="s">
        <v>1459</v>
      </c>
    </row>
    <row r="176" spans="1:8" hidden="1">
      <c r="A176" t="s">
        <v>1460</v>
      </c>
      <c r="B176" t="s">
        <v>1462</v>
      </c>
      <c r="C176" t="s">
        <v>1461</v>
      </c>
      <c r="D176" t="s">
        <v>560</v>
      </c>
      <c r="E176" t="s">
        <v>1463</v>
      </c>
      <c r="F176">
        <v>566</v>
      </c>
      <c r="G176" t="s">
        <v>1464</v>
      </c>
      <c r="H176" t="s">
        <v>1465</v>
      </c>
    </row>
    <row r="177" spans="1:8" hidden="1">
      <c r="A177" t="s">
        <v>1466</v>
      </c>
      <c r="B177" t="s">
        <v>1467</v>
      </c>
      <c r="C177" t="s">
        <v>2035</v>
      </c>
      <c r="D177" t="s">
        <v>548</v>
      </c>
      <c r="E177" t="s">
        <v>1468</v>
      </c>
      <c r="F177">
        <v>570</v>
      </c>
      <c r="G177" t="s">
        <v>1469</v>
      </c>
      <c r="H177" t="s">
        <v>1470</v>
      </c>
    </row>
    <row r="178" spans="1:8" hidden="1">
      <c r="A178" t="s">
        <v>1471</v>
      </c>
      <c r="B178" t="s">
        <v>1472</v>
      </c>
      <c r="C178" t="s">
        <v>2036</v>
      </c>
      <c r="D178" t="s">
        <v>538</v>
      </c>
      <c r="E178" t="s">
        <v>1473</v>
      </c>
      <c r="F178">
        <v>574</v>
      </c>
      <c r="G178" t="s">
        <v>1474</v>
      </c>
      <c r="H178" t="s">
        <v>1475</v>
      </c>
    </row>
    <row r="179" spans="1:8" hidden="1">
      <c r="A179" t="s">
        <v>1476</v>
      </c>
    </row>
    <row r="180" spans="1:8" hidden="1">
      <c r="A180" t="s">
        <v>2037</v>
      </c>
      <c r="B180" t="s">
        <v>1477</v>
      </c>
      <c r="C180" t="s">
        <v>2038</v>
      </c>
      <c r="D180" t="s">
        <v>560</v>
      </c>
      <c r="E180" t="s">
        <v>1478</v>
      </c>
      <c r="F180">
        <v>807</v>
      </c>
      <c r="G180" t="s">
        <v>1479</v>
      </c>
      <c r="H180" t="s">
        <v>1480</v>
      </c>
    </row>
    <row r="181" spans="1:8" hidden="1">
      <c r="A181" t="s">
        <v>1481</v>
      </c>
      <c r="B181" t="s">
        <v>200</v>
      </c>
      <c r="C181" t="s">
        <v>1482</v>
      </c>
      <c r="D181" t="s">
        <v>584</v>
      </c>
      <c r="E181" t="s">
        <v>1483</v>
      </c>
      <c r="F181">
        <v>580</v>
      </c>
      <c r="G181" t="s">
        <v>1484</v>
      </c>
      <c r="H181" t="s">
        <v>1485</v>
      </c>
    </row>
    <row r="182" spans="1:8" hidden="1">
      <c r="A182" t="s">
        <v>1486</v>
      </c>
      <c r="B182" t="s">
        <v>1488</v>
      </c>
      <c r="C182" t="s">
        <v>1487</v>
      </c>
      <c r="D182" t="s">
        <v>560</v>
      </c>
      <c r="E182" t="s">
        <v>1489</v>
      </c>
      <c r="F182">
        <v>578</v>
      </c>
      <c r="G182" t="s">
        <v>1490</v>
      </c>
      <c r="H182" t="s">
        <v>1491</v>
      </c>
    </row>
    <row r="183" spans="1:8" hidden="1">
      <c r="A183" t="s">
        <v>1492</v>
      </c>
      <c r="B183" t="s">
        <v>1494</v>
      </c>
      <c r="C183" t="s">
        <v>1493</v>
      </c>
      <c r="D183" t="s">
        <v>560</v>
      </c>
      <c r="E183" t="s">
        <v>1495</v>
      </c>
      <c r="F183">
        <v>512</v>
      </c>
      <c r="G183" t="s">
        <v>1496</v>
      </c>
      <c r="H183" t="s">
        <v>1497</v>
      </c>
    </row>
    <row r="184" spans="1:8" hidden="1">
      <c r="A184" t="s">
        <v>1498</v>
      </c>
      <c r="B184" t="s">
        <v>1500</v>
      </c>
      <c r="C184" t="s">
        <v>1499</v>
      </c>
      <c r="D184" t="s">
        <v>560</v>
      </c>
      <c r="E184" t="s">
        <v>1501</v>
      </c>
      <c r="F184">
        <v>586</v>
      </c>
      <c r="G184" t="s">
        <v>1502</v>
      </c>
      <c r="H184" t="s">
        <v>1503</v>
      </c>
    </row>
    <row r="185" spans="1:8" hidden="1">
      <c r="A185" t="s">
        <v>1504</v>
      </c>
      <c r="B185" t="s">
        <v>1506</v>
      </c>
      <c r="C185" t="s">
        <v>1505</v>
      </c>
      <c r="D185" t="s">
        <v>560</v>
      </c>
      <c r="E185" t="s">
        <v>1507</v>
      </c>
      <c r="F185">
        <v>585</v>
      </c>
      <c r="G185" t="s">
        <v>1508</v>
      </c>
      <c r="H185" t="s">
        <v>1509</v>
      </c>
    </row>
    <row r="186" spans="1:8" hidden="1">
      <c r="A186" t="s">
        <v>1510</v>
      </c>
      <c r="B186" t="s">
        <v>1511</v>
      </c>
      <c r="C186" t="s">
        <v>2039</v>
      </c>
      <c r="D186" t="s">
        <v>1111</v>
      </c>
      <c r="E186" t="s">
        <v>1512</v>
      </c>
      <c r="F186">
        <v>275</v>
      </c>
      <c r="G186" t="s">
        <v>1513</v>
      </c>
      <c r="H186" t="s">
        <v>1514</v>
      </c>
    </row>
    <row r="187" spans="1:8" hidden="1">
      <c r="A187" t="s">
        <v>1515</v>
      </c>
      <c r="B187" t="s">
        <v>1517</v>
      </c>
      <c r="C187" t="s">
        <v>1516</v>
      </c>
      <c r="D187" t="s">
        <v>560</v>
      </c>
      <c r="E187" t="s">
        <v>1518</v>
      </c>
      <c r="F187">
        <v>591</v>
      </c>
      <c r="G187" t="s">
        <v>1519</v>
      </c>
      <c r="H187" t="s">
        <v>1520</v>
      </c>
    </row>
    <row r="188" spans="1:8" hidden="1">
      <c r="A188" t="s">
        <v>1521</v>
      </c>
      <c r="B188" t="s">
        <v>1523</v>
      </c>
      <c r="C188" t="s">
        <v>1522</v>
      </c>
      <c r="D188" t="s">
        <v>560</v>
      </c>
      <c r="E188" t="s">
        <v>1524</v>
      </c>
      <c r="F188">
        <v>598</v>
      </c>
      <c r="G188" t="s">
        <v>1525</v>
      </c>
      <c r="H188" t="s">
        <v>1526</v>
      </c>
    </row>
    <row r="189" spans="1:8" hidden="1">
      <c r="A189" t="s">
        <v>1527</v>
      </c>
      <c r="B189" t="s">
        <v>1529</v>
      </c>
      <c r="C189" t="s">
        <v>1528</v>
      </c>
      <c r="D189" t="s">
        <v>560</v>
      </c>
      <c r="E189" t="s">
        <v>1530</v>
      </c>
      <c r="F189">
        <v>600</v>
      </c>
      <c r="G189" t="s">
        <v>1531</v>
      </c>
      <c r="H189" t="s">
        <v>1532</v>
      </c>
    </row>
    <row r="190" spans="1:8" hidden="1">
      <c r="A190" t="s">
        <v>1533</v>
      </c>
    </row>
    <row r="191" spans="1:8" hidden="1">
      <c r="A191" t="s">
        <v>1534</v>
      </c>
      <c r="B191" t="s">
        <v>1536</v>
      </c>
      <c r="C191" t="s">
        <v>1535</v>
      </c>
      <c r="D191" t="s">
        <v>560</v>
      </c>
      <c r="E191" t="s">
        <v>272</v>
      </c>
      <c r="F191">
        <v>604</v>
      </c>
      <c r="G191" t="s">
        <v>1537</v>
      </c>
      <c r="H191" t="s">
        <v>1538</v>
      </c>
    </row>
    <row r="192" spans="1:8" hidden="1">
      <c r="A192" t="s">
        <v>1539</v>
      </c>
      <c r="B192" t="s">
        <v>1541</v>
      </c>
      <c r="C192" t="s">
        <v>1540</v>
      </c>
      <c r="D192" t="s">
        <v>560</v>
      </c>
      <c r="E192" t="s">
        <v>1542</v>
      </c>
      <c r="F192">
        <v>608</v>
      </c>
      <c r="G192" t="s">
        <v>1543</v>
      </c>
      <c r="H192" t="s">
        <v>1544</v>
      </c>
    </row>
    <row r="193" spans="1:8" hidden="1">
      <c r="A193" t="s">
        <v>2040</v>
      </c>
      <c r="B193" t="s">
        <v>1545</v>
      </c>
      <c r="C193" t="s">
        <v>2041</v>
      </c>
      <c r="D193" t="s">
        <v>602</v>
      </c>
      <c r="E193" t="s">
        <v>1546</v>
      </c>
      <c r="F193">
        <v>612</v>
      </c>
      <c r="G193" t="s">
        <v>1547</v>
      </c>
      <c r="H193" t="s">
        <v>1548</v>
      </c>
    </row>
    <row r="194" spans="1:8" hidden="1">
      <c r="A194" t="s">
        <v>1549</v>
      </c>
      <c r="B194" t="s">
        <v>1551</v>
      </c>
      <c r="C194" t="s">
        <v>1550</v>
      </c>
      <c r="D194" t="s">
        <v>560</v>
      </c>
      <c r="E194" t="s">
        <v>1552</v>
      </c>
      <c r="F194">
        <v>616</v>
      </c>
      <c r="G194" t="s">
        <v>1553</v>
      </c>
      <c r="H194" t="s">
        <v>1554</v>
      </c>
    </row>
    <row r="195" spans="1:8" hidden="1">
      <c r="A195" t="s">
        <v>1555</v>
      </c>
      <c r="B195" t="s">
        <v>1557</v>
      </c>
      <c r="C195" t="s">
        <v>1556</v>
      </c>
      <c r="D195" t="s">
        <v>560</v>
      </c>
      <c r="E195" t="s">
        <v>1558</v>
      </c>
      <c r="F195">
        <v>620</v>
      </c>
      <c r="G195" t="s">
        <v>1559</v>
      </c>
      <c r="H195" t="s">
        <v>1560</v>
      </c>
    </row>
    <row r="196" spans="1:8" hidden="1">
      <c r="A196" t="s">
        <v>1561</v>
      </c>
      <c r="B196" t="s">
        <v>1562</v>
      </c>
      <c r="C196" t="s">
        <v>2042</v>
      </c>
      <c r="D196" t="s">
        <v>584</v>
      </c>
      <c r="E196" t="s">
        <v>1563</v>
      </c>
      <c r="F196">
        <v>630</v>
      </c>
      <c r="G196" t="s">
        <v>1564</v>
      </c>
      <c r="H196" t="s">
        <v>1565</v>
      </c>
    </row>
    <row r="197" spans="1:8" hidden="1">
      <c r="A197" t="s">
        <v>1566</v>
      </c>
      <c r="B197" t="s">
        <v>1568</v>
      </c>
      <c r="C197" t="s">
        <v>1567</v>
      </c>
      <c r="D197" t="s">
        <v>560</v>
      </c>
      <c r="E197" t="s">
        <v>1569</v>
      </c>
      <c r="F197">
        <v>634</v>
      </c>
      <c r="G197" t="s">
        <v>1570</v>
      </c>
      <c r="H197" t="s">
        <v>1571</v>
      </c>
    </row>
    <row r="198" spans="1:8" hidden="1">
      <c r="A198" t="s">
        <v>1572</v>
      </c>
    </row>
    <row r="199" spans="1:8" hidden="1">
      <c r="A199" t="s">
        <v>1573</v>
      </c>
    </row>
    <row r="200" spans="1:8" hidden="1">
      <c r="A200" t="s">
        <v>1574</v>
      </c>
    </row>
    <row r="201" spans="1:8" hidden="1">
      <c r="A201" t="s">
        <v>1575</v>
      </c>
      <c r="B201" t="s">
        <v>1576</v>
      </c>
      <c r="C201" t="s">
        <v>2043</v>
      </c>
      <c r="D201" t="s">
        <v>995</v>
      </c>
      <c r="E201" t="s">
        <v>1577</v>
      </c>
      <c r="F201">
        <v>638</v>
      </c>
      <c r="G201" t="s">
        <v>1578</v>
      </c>
      <c r="H201" t="s">
        <v>1579</v>
      </c>
    </row>
    <row r="202" spans="1:8" hidden="1">
      <c r="A202" t="s">
        <v>1580</v>
      </c>
      <c r="B202" t="s">
        <v>1581</v>
      </c>
      <c r="C202" t="s">
        <v>2044</v>
      </c>
      <c r="D202" t="s">
        <v>560</v>
      </c>
      <c r="E202" t="s">
        <v>1582</v>
      </c>
      <c r="F202">
        <v>642</v>
      </c>
      <c r="G202" t="s">
        <v>1583</v>
      </c>
      <c r="H202" t="s">
        <v>1584</v>
      </c>
    </row>
    <row r="203" spans="1:8" hidden="1">
      <c r="A203" t="s">
        <v>2045</v>
      </c>
      <c r="B203" t="s">
        <v>1586</v>
      </c>
      <c r="C203" t="s">
        <v>1585</v>
      </c>
      <c r="D203" t="s">
        <v>560</v>
      </c>
      <c r="E203" t="s">
        <v>1587</v>
      </c>
      <c r="F203">
        <v>643</v>
      </c>
      <c r="G203" t="s">
        <v>1588</v>
      </c>
      <c r="H203" t="s">
        <v>1589</v>
      </c>
    </row>
    <row r="204" spans="1:8" hidden="1">
      <c r="A204" t="s">
        <v>1590</v>
      </c>
      <c r="B204" t="s">
        <v>1592</v>
      </c>
      <c r="C204" t="s">
        <v>1591</v>
      </c>
      <c r="D204" t="s">
        <v>560</v>
      </c>
      <c r="E204" t="s">
        <v>1593</v>
      </c>
      <c r="F204">
        <v>646</v>
      </c>
      <c r="G204" t="s">
        <v>1594</v>
      </c>
      <c r="H204" t="s">
        <v>1595</v>
      </c>
    </row>
    <row r="205" spans="1:8" hidden="1">
      <c r="A205" t="s">
        <v>1596</v>
      </c>
    </row>
    <row r="206" spans="1:8" hidden="1">
      <c r="A206" t="s">
        <v>1597</v>
      </c>
    </row>
    <row r="207" spans="1:8" hidden="1">
      <c r="A207" t="s">
        <v>1598</v>
      </c>
      <c r="B207" t="s">
        <v>1599</v>
      </c>
      <c r="C207" t="s">
        <v>2046</v>
      </c>
      <c r="D207" t="s">
        <v>995</v>
      </c>
      <c r="E207" t="s">
        <v>1600</v>
      </c>
      <c r="F207">
        <v>652</v>
      </c>
      <c r="G207" t="s">
        <v>1601</v>
      </c>
      <c r="H207" t="s">
        <v>1602</v>
      </c>
    </row>
    <row r="208" spans="1:8" hidden="1">
      <c r="A208" t="s">
        <v>1603</v>
      </c>
      <c r="B208" t="s">
        <v>1606</v>
      </c>
      <c r="C208" t="s">
        <v>2047</v>
      </c>
      <c r="D208" t="s">
        <v>602</v>
      </c>
      <c r="E208" t="s">
        <v>1607</v>
      </c>
      <c r="F208">
        <v>654</v>
      </c>
      <c r="G208" t="s">
        <v>1608</v>
      </c>
      <c r="H208" t="s">
        <v>1609</v>
      </c>
    </row>
    <row r="209" spans="1:8" hidden="1">
      <c r="A209" t="s">
        <v>1604</v>
      </c>
    </row>
    <row r="210" spans="1:8" hidden="1">
      <c r="A210" t="s">
        <v>1605</v>
      </c>
    </row>
    <row r="211" spans="1:8" hidden="1">
      <c r="A211" t="s">
        <v>1610</v>
      </c>
      <c r="B211" t="s">
        <v>1611</v>
      </c>
      <c r="C211" t="s">
        <v>2048</v>
      </c>
      <c r="D211" t="s">
        <v>560</v>
      </c>
      <c r="E211" t="s">
        <v>1612</v>
      </c>
      <c r="F211">
        <v>659</v>
      </c>
      <c r="G211" t="s">
        <v>1613</v>
      </c>
      <c r="H211" t="s">
        <v>1614</v>
      </c>
    </row>
    <row r="212" spans="1:8" hidden="1">
      <c r="A212" t="s">
        <v>1615</v>
      </c>
      <c r="B212" t="s">
        <v>1616</v>
      </c>
      <c r="C212" t="s">
        <v>2049</v>
      </c>
      <c r="D212" t="s">
        <v>560</v>
      </c>
      <c r="E212" t="s">
        <v>1617</v>
      </c>
      <c r="F212">
        <v>662</v>
      </c>
      <c r="G212" t="s">
        <v>1618</v>
      </c>
      <c r="H212" t="s">
        <v>1619</v>
      </c>
    </row>
    <row r="213" spans="1:8" hidden="1">
      <c r="A213" t="s">
        <v>1620</v>
      </c>
      <c r="B213" t="s">
        <v>1621</v>
      </c>
      <c r="C213" t="s">
        <v>2050</v>
      </c>
      <c r="D213" t="s">
        <v>995</v>
      </c>
      <c r="E213" t="s">
        <v>1622</v>
      </c>
      <c r="F213">
        <v>663</v>
      </c>
      <c r="G213" t="s">
        <v>1623</v>
      </c>
      <c r="H213" t="s">
        <v>1624</v>
      </c>
    </row>
    <row r="214" spans="1:8" hidden="1">
      <c r="A214" t="s">
        <v>1625</v>
      </c>
      <c r="B214" t="s">
        <v>1626</v>
      </c>
      <c r="C214" t="s">
        <v>2051</v>
      </c>
      <c r="D214" t="s">
        <v>995</v>
      </c>
      <c r="E214" t="s">
        <v>1627</v>
      </c>
      <c r="F214">
        <v>666</v>
      </c>
      <c r="G214" t="s">
        <v>1628</v>
      </c>
      <c r="H214" t="s">
        <v>1629</v>
      </c>
    </row>
    <row r="215" spans="1:8" hidden="1">
      <c r="A215" t="s">
        <v>1630</v>
      </c>
      <c r="B215" t="s">
        <v>1631</v>
      </c>
      <c r="C215" t="s">
        <v>2052</v>
      </c>
      <c r="D215" t="s">
        <v>560</v>
      </c>
      <c r="E215" t="s">
        <v>1632</v>
      </c>
      <c r="F215">
        <v>670</v>
      </c>
      <c r="G215" t="s">
        <v>1633</v>
      </c>
      <c r="H215" t="s">
        <v>1634</v>
      </c>
    </row>
    <row r="216" spans="1:8" hidden="1">
      <c r="A216" t="s">
        <v>1635</v>
      </c>
      <c r="B216" t="s">
        <v>1637</v>
      </c>
      <c r="C216" t="s">
        <v>1636</v>
      </c>
      <c r="D216" t="s">
        <v>560</v>
      </c>
      <c r="E216" t="s">
        <v>1638</v>
      </c>
      <c r="F216">
        <v>882</v>
      </c>
      <c r="G216" t="s">
        <v>1639</v>
      </c>
      <c r="H216" t="s">
        <v>1640</v>
      </c>
    </row>
    <row r="217" spans="1:8" hidden="1">
      <c r="A217" t="s">
        <v>1641</v>
      </c>
      <c r="B217" t="s">
        <v>1643</v>
      </c>
      <c r="C217" t="s">
        <v>1642</v>
      </c>
      <c r="D217" t="s">
        <v>560</v>
      </c>
      <c r="E217" t="s">
        <v>1644</v>
      </c>
      <c r="F217">
        <v>674</v>
      </c>
      <c r="G217" t="s">
        <v>1645</v>
      </c>
      <c r="H217" t="s">
        <v>1646</v>
      </c>
    </row>
    <row r="218" spans="1:8" hidden="1">
      <c r="A218" t="s">
        <v>1647</v>
      </c>
      <c r="B218" t="s">
        <v>1649</v>
      </c>
      <c r="C218" t="s">
        <v>1648</v>
      </c>
      <c r="D218" t="s">
        <v>560</v>
      </c>
      <c r="E218" t="s">
        <v>1650</v>
      </c>
      <c r="F218">
        <v>678</v>
      </c>
      <c r="G218" t="s">
        <v>1651</v>
      </c>
      <c r="H218" t="s">
        <v>1652</v>
      </c>
    </row>
    <row r="219" spans="1:8" hidden="1">
      <c r="A219" t="s">
        <v>1653</v>
      </c>
      <c r="B219" t="s">
        <v>1655</v>
      </c>
      <c r="C219" t="s">
        <v>1654</v>
      </c>
      <c r="D219" t="s">
        <v>560</v>
      </c>
      <c r="E219" t="s">
        <v>1656</v>
      </c>
      <c r="F219">
        <v>682</v>
      </c>
      <c r="G219" t="s">
        <v>1657</v>
      </c>
      <c r="H219" t="s">
        <v>1658</v>
      </c>
    </row>
    <row r="220" spans="1:8" hidden="1">
      <c r="A220" t="s">
        <v>1659</v>
      </c>
      <c r="B220" t="s">
        <v>1661</v>
      </c>
      <c r="C220" t="s">
        <v>1660</v>
      </c>
      <c r="D220" t="s">
        <v>560</v>
      </c>
      <c r="E220" t="s">
        <v>1662</v>
      </c>
      <c r="F220">
        <v>686</v>
      </c>
      <c r="G220" t="s">
        <v>1663</v>
      </c>
      <c r="H220" t="s">
        <v>1664</v>
      </c>
    </row>
    <row r="221" spans="1:8" hidden="1">
      <c r="A221" t="s">
        <v>1665</v>
      </c>
      <c r="B221" t="s">
        <v>1667</v>
      </c>
      <c r="C221" t="s">
        <v>1666</v>
      </c>
      <c r="D221" t="s">
        <v>560</v>
      </c>
      <c r="E221" t="s">
        <v>1668</v>
      </c>
      <c r="F221">
        <v>688</v>
      </c>
      <c r="G221" t="s">
        <v>1669</v>
      </c>
      <c r="H221" t="s">
        <v>1670</v>
      </c>
    </row>
    <row r="222" spans="1:8" hidden="1">
      <c r="A222" t="s">
        <v>1671</v>
      </c>
      <c r="B222" t="s">
        <v>1673</v>
      </c>
      <c r="C222" t="s">
        <v>1672</v>
      </c>
      <c r="D222" t="s">
        <v>560</v>
      </c>
      <c r="E222" t="s">
        <v>1674</v>
      </c>
      <c r="F222">
        <v>690</v>
      </c>
      <c r="G222" t="s">
        <v>1675</v>
      </c>
      <c r="H222" t="s">
        <v>1676</v>
      </c>
    </row>
    <row r="223" spans="1:8" hidden="1">
      <c r="A223" t="s">
        <v>1677</v>
      </c>
      <c r="B223" t="s">
        <v>1679</v>
      </c>
      <c r="C223" t="s">
        <v>1678</v>
      </c>
      <c r="D223" t="s">
        <v>560</v>
      </c>
      <c r="E223" t="s">
        <v>1680</v>
      </c>
      <c r="F223">
        <v>694</v>
      </c>
      <c r="G223" t="s">
        <v>1681</v>
      </c>
      <c r="H223" t="s">
        <v>1682</v>
      </c>
    </row>
    <row r="224" spans="1:8" hidden="1">
      <c r="A224" t="s">
        <v>1683</v>
      </c>
      <c r="B224" t="s">
        <v>1685</v>
      </c>
      <c r="C224" t="s">
        <v>1684</v>
      </c>
      <c r="D224" t="s">
        <v>560</v>
      </c>
      <c r="E224" t="s">
        <v>1686</v>
      </c>
      <c r="F224">
        <v>702</v>
      </c>
      <c r="G224" t="s">
        <v>1687</v>
      </c>
      <c r="H224" t="s">
        <v>1688</v>
      </c>
    </row>
    <row r="225" spans="1:8" hidden="1">
      <c r="A225" t="s">
        <v>1689</v>
      </c>
    </row>
    <row r="226" spans="1:8" hidden="1">
      <c r="A226" t="s">
        <v>1690</v>
      </c>
      <c r="B226" t="s">
        <v>1691</v>
      </c>
      <c r="C226" t="s">
        <v>2053</v>
      </c>
      <c r="D226" t="s">
        <v>630</v>
      </c>
      <c r="E226" t="s">
        <v>1692</v>
      </c>
      <c r="F226">
        <v>534</v>
      </c>
      <c r="G226" t="s">
        <v>1693</v>
      </c>
      <c r="H226" t="s">
        <v>1694</v>
      </c>
    </row>
    <row r="227" spans="1:8" hidden="1">
      <c r="A227" t="s">
        <v>1695</v>
      </c>
      <c r="B227" t="s">
        <v>1697</v>
      </c>
      <c r="C227" t="s">
        <v>1696</v>
      </c>
      <c r="D227" t="s">
        <v>560</v>
      </c>
      <c r="E227" t="s">
        <v>1698</v>
      </c>
      <c r="F227">
        <v>703</v>
      </c>
      <c r="G227" t="s">
        <v>1699</v>
      </c>
      <c r="H227" t="s">
        <v>1700</v>
      </c>
    </row>
    <row r="228" spans="1:8" hidden="1">
      <c r="A228" t="s">
        <v>1701</v>
      </c>
      <c r="B228" t="s">
        <v>1703</v>
      </c>
      <c r="C228" t="s">
        <v>1702</v>
      </c>
      <c r="D228" t="s">
        <v>560</v>
      </c>
      <c r="E228" t="s">
        <v>1704</v>
      </c>
      <c r="F228">
        <v>705</v>
      </c>
      <c r="G228" t="s">
        <v>1705</v>
      </c>
      <c r="H228" t="s">
        <v>1706</v>
      </c>
    </row>
    <row r="229" spans="1:8" hidden="1">
      <c r="A229" t="s">
        <v>1707</v>
      </c>
      <c r="B229" t="s">
        <v>1708</v>
      </c>
      <c r="C229" t="s">
        <v>2054</v>
      </c>
      <c r="D229" t="s">
        <v>560</v>
      </c>
      <c r="E229" t="s">
        <v>1709</v>
      </c>
      <c r="F229">
        <v>90</v>
      </c>
      <c r="G229" t="s">
        <v>1710</v>
      </c>
      <c r="H229" t="s">
        <v>1711</v>
      </c>
    </row>
    <row r="230" spans="1:8" hidden="1">
      <c r="A230" t="s">
        <v>1712</v>
      </c>
      <c r="B230" t="s">
        <v>1714</v>
      </c>
      <c r="C230" t="s">
        <v>1713</v>
      </c>
      <c r="D230" t="s">
        <v>560</v>
      </c>
      <c r="E230" t="s">
        <v>1715</v>
      </c>
      <c r="F230">
        <v>706</v>
      </c>
      <c r="G230" t="s">
        <v>1716</v>
      </c>
      <c r="H230" t="s">
        <v>1717</v>
      </c>
    </row>
    <row r="231" spans="1:8" hidden="1">
      <c r="A231" t="s">
        <v>1718</v>
      </c>
      <c r="B231" t="s">
        <v>1720</v>
      </c>
      <c r="C231" t="s">
        <v>1719</v>
      </c>
      <c r="D231" t="s">
        <v>560</v>
      </c>
      <c r="E231" t="s">
        <v>1721</v>
      </c>
      <c r="F231">
        <v>710</v>
      </c>
      <c r="G231" t="s">
        <v>1722</v>
      </c>
      <c r="H231" t="s">
        <v>1723</v>
      </c>
    </row>
    <row r="232" spans="1:8" hidden="1">
      <c r="A232" t="s">
        <v>1724</v>
      </c>
      <c r="B232" t="s">
        <v>1726</v>
      </c>
      <c r="C232" t="s">
        <v>1725</v>
      </c>
      <c r="D232" t="s">
        <v>602</v>
      </c>
      <c r="E232" t="s">
        <v>1727</v>
      </c>
      <c r="F232">
        <v>239</v>
      </c>
      <c r="G232" t="s">
        <v>1728</v>
      </c>
      <c r="H232" t="s">
        <v>1729</v>
      </c>
    </row>
    <row r="233" spans="1:8" hidden="1">
      <c r="A233" t="s">
        <v>1730</v>
      </c>
    </row>
    <row r="234" spans="1:8" hidden="1">
      <c r="A234" t="s">
        <v>1731</v>
      </c>
      <c r="B234" t="s">
        <v>1733</v>
      </c>
      <c r="C234" t="s">
        <v>1732</v>
      </c>
      <c r="D234" t="s">
        <v>560</v>
      </c>
      <c r="E234" t="s">
        <v>1734</v>
      </c>
      <c r="F234">
        <v>728</v>
      </c>
      <c r="G234" t="s">
        <v>1735</v>
      </c>
      <c r="H234" t="s">
        <v>1736</v>
      </c>
    </row>
    <row r="235" spans="1:8">
      <c r="A235" t="s">
        <v>1737</v>
      </c>
      <c r="B235" t="s">
        <v>291</v>
      </c>
      <c r="C235" t="s">
        <v>1738</v>
      </c>
      <c r="D235" t="s">
        <v>560</v>
      </c>
      <c r="E235" t="s">
        <v>1739</v>
      </c>
      <c r="F235">
        <v>724</v>
      </c>
      <c r="G235" t="s">
        <v>1740</v>
      </c>
      <c r="H235" t="s">
        <v>1741</v>
      </c>
    </row>
    <row r="236" spans="1:8" hidden="1">
      <c r="A236" t="s">
        <v>1742</v>
      </c>
      <c r="B236" t="s">
        <v>1744</v>
      </c>
      <c r="C236" t="s">
        <v>1743</v>
      </c>
      <c r="D236" t="s">
        <v>560</v>
      </c>
      <c r="E236" t="s">
        <v>1745</v>
      </c>
      <c r="F236">
        <v>144</v>
      </c>
      <c r="G236" t="s">
        <v>1746</v>
      </c>
      <c r="H236" t="s">
        <v>1747</v>
      </c>
    </row>
    <row r="237" spans="1:8" hidden="1">
      <c r="A237" t="s">
        <v>1748</v>
      </c>
      <c r="B237" t="s">
        <v>1750</v>
      </c>
      <c r="C237" t="s">
        <v>1749</v>
      </c>
      <c r="D237" t="s">
        <v>560</v>
      </c>
      <c r="E237" t="s">
        <v>1751</v>
      </c>
      <c r="F237">
        <v>729</v>
      </c>
      <c r="G237" t="s">
        <v>1752</v>
      </c>
      <c r="H237" t="s">
        <v>1753</v>
      </c>
    </row>
    <row r="238" spans="1:8" hidden="1">
      <c r="A238" t="s">
        <v>1754</v>
      </c>
      <c r="B238" t="s">
        <v>1756</v>
      </c>
      <c r="C238" t="s">
        <v>1755</v>
      </c>
      <c r="D238" t="s">
        <v>560</v>
      </c>
      <c r="E238" t="s">
        <v>1757</v>
      </c>
      <c r="F238">
        <v>740</v>
      </c>
      <c r="G238" t="s">
        <v>1758</v>
      </c>
      <c r="H238" t="s">
        <v>1759</v>
      </c>
    </row>
    <row r="239" spans="1:8" hidden="1">
      <c r="A239" t="s">
        <v>1760</v>
      </c>
      <c r="B239" t="s">
        <v>1762</v>
      </c>
      <c r="C239" t="s">
        <v>2055</v>
      </c>
      <c r="D239" t="s">
        <v>732</v>
      </c>
      <c r="E239" t="s">
        <v>1763</v>
      </c>
      <c r="F239">
        <v>744</v>
      </c>
      <c r="G239" t="s">
        <v>1764</v>
      </c>
      <c r="H239" t="s">
        <v>1765</v>
      </c>
    </row>
    <row r="240" spans="1:8" hidden="1">
      <c r="A240" t="s">
        <v>1761</v>
      </c>
    </row>
    <row r="241" spans="1:8" hidden="1">
      <c r="A241" t="s">
        <v>1766</v>
      </c>
      <c r="B241" t="s">
        <v>1768</v>
      </c>
      <c r="C241" t="s">
        <v>1767</v>
      </c>
      <c r="D241" t="s">
        <v>560</v>
      </c>
      <c r="E241" t="s">
        <v>1769</v>
      </c>
      <c r="F241">
        <v>752</v>
      </c>
      <c r="G241" t="s">
        <v>1770</v>
      </c>
      <c r="H241" t="s">
        <v>1771</v>
      </c>
    </row>
    <row r="242" spans="1:8" hidden="1">
      <c r="A242" t="s">
        <v>1772</v>
      </c>
      <c r="B242" t="s">
        <v>344</v>
      </c>
      <c r="C242" t="s">
        <v>1773</v>
      </c>
      <c r="D242" t="s">
        <v>560</v>
      </c>
      <c r="E242" t="s">
        <v>1774</v>
      </c>
      <c r="F242">
        <v>756</v>
      </c>
      <c r="G242" t="s">
        <v>1775</v>
      </c>
      <c r="H242" t="s">
        <v>1776</v>
      </c>
    </row>
    <row r="243" spans="1:8" hidden="1">
      <c r="A243" t="s">
        <v>2056</v>
      </c>
      <c r="B243" t="s">
        <v>1778</v>
      </c>
      <c r="C243" t="s">
        <v>1777</v>
      </c>
      <c r="D243" t="s">
        <v>560</v>
      </c>
      <c r="E243" t="s">
        <v>1779</v>
      </c>
      <c r="F243">
        <v>760</v>
      </c>
      <c r="G243" t="s">
        <v>1780</v>
      </c>
      <c r="H243" t="s">
        <v>1781</v>
      </c>
    </row>
    <row r="244" spans="1:8" hidden="1">
      <c r="A244" t="s">
        <v>2057</v>
      </c>
      <c r="B244" t="s">
        <v>206</v>
      </c>
      <c r="C244" t="s">
        <v>2058</v>
      </c>
      <c r="D244" t="s">
        <v>2059</v>
      </c>
      <c r="E244" t="s">
        <v>1782</v>
      </c>
      <c r="F244">
        <v>158</v>
      </c>
      <c r="G244" t="s">
        <v>1783</v>
      </c>
      <c r="H244" t="s">
        <v>1784</v>
      </c>
    </row>
    <row r="245" spans="1:8" hidden="1">
      <c r="A245" t="s">
        <v>1785</v>
      </c>
      <c r="B245" t="s">
        <v>1787</v>
      </c>
      <c r="C245" t="s">
        <v>1786</v>
      </c>
      <c r="D245" t="s">
        <v>560</v>
      </c>
      <c r="E245" t="s">
        <v>1788</v>
      </c>
      <c r="F245">
        <v>762</v>
      </c>
      <c r="G245" t="s">
        <v>1789</v>
      </c>
      <c r="H245" t="s">
        <v>1790</v>
      </c>
    </row>
    <row r="246" spans="1:8" hidden="1">
      <c r="A246" t="s">
        <v>1791</v>
      </c>
      <c r="B246" t="s">
        <v>1793</v>
      </c>
      <c r="C246" t="s">
        <v>1792</v>
      </c>
      <c r="D246" t="s">
        <v>560</v>
      </c>
      <c r="E246" t="s">
        <v>1794</v>
      </c>
      <c r="F246">
        <v>834</v>
      </c>
      <c r="G246" t="s">
        <v>1795</v>
      </c>
      <c r="H246" t="s">
        <v>1796</v>
      </c>
    </row>
    <row r="247" spans="1:8" hidden="1">
      <c r="A247" t="s">
        <v>1797</v>
      </c>
      <c r="B247" t="s">
        <v>1799</v>
      </c>
      <c r="C247" t="s">
        <v>1798</v>
      </c>
      <c r="D247" t="s">
        <v>560</v>
      </c>
      <c r="E247" t="s">
        <v>1800</v>
      </c>
      <c r="F247">
        <v>764</v>
      </c>
      <c r="G247" t="s">
        <v>1801</v>
      </c>
      <c r="H247" t="s">
        <v>1802</v>
      </c>
    </row>
    <row r="248" spans="1:8" hidden="1">
      <c r="A248" t="s">
        <v>2060</v>
      </c>
      <c r="B248" t="s">
        <v>1804</v>
      </c>
      <c r="C248" t="s">
        <v>1803</v>
      </c>
      <c r="D248" t="s">
        <v>560</v>
      </c>
      <c r="E248" t="s">
        <v>1805</v>
      </c>
      <c r="F248">
        <v>626</v>
      </c>
      <c r="G248" t="s">
        <v>1806</v>
      </c>
      <c r="H248" t="s">
        <v>1807</v>
      </c>
    </row>
    <row r="249" spans="1:8" hidden="1">
      <c r="A249" t="s">
        <v>1808</v>
      </c>
      <c r="B249" t="s">
        <v>1810</v>
      </c>
      <c r="C249" t="s">
        <v>1809</v>
      </c>
      <c r="D249" t="s">
        <v>560</v>
      </c>
      <c r="E249" t="s">
        <v>1811</v>
      </c>
      <c r="F249">
        <v>768</v>
      </c>
      <c r="G249" t="s">
        <v>1812</v>
      </c>
      <c r="H249" t="s">
        <v>1813</v>
      </c>
    </row>
    <row r="250" spans="1:8" hidden="1">
      <c r="A250" t="s">
        <v>1814</v>
      </c>
      <c r="B250" t="s">
        <v>1815</v>
      </c>
      <c r="C250" t="s">
        <v>2061</v>
      </c>
      <c r="D250" t="s">
        <v>548</v>
      </c>
      <c r="E250" t="s">
        <v>1816</v>
      </c>
      <c r="F250">
        <v>772</v>
      </c>
      <c r="G250" t="s">
        <v>1817</v>
      </c>
      <c r="H250" t="s">
        <v>1818</v>
      </c>
    </row>
    <row r="251" spans="1:8" hidden="1">
      <c r="A251" t="s">
        <v>1819</v>
      </c>
      <c r="B251" t="s">
        <v>1821</v>
      </c>
      <c r="C251" t="s">
        <v>1820</v>
      </c>
      <c r="D251" t="s">
        <v>560</v>
      </c>
      <c r="E251" t="s">
        <v>1822</v>
      </c>
      <c r="F251">
        <v>776</v>
      </c>
      <c r="G251" t="s">
        <v>1823</v>
      </c>
      <c r="H251" t="s">
        <v>1824</v>
      </c>
    </row>
    <row r="252" spans="1:8" hidden="1">
      <c r="A252" t="s">
        <v>1825</v>
      </c>
      <c r="B252" t="s">
        <v>1827</v>
      </c>
      <c r="C252" t="s">
        <v>1826</v>
      </c>
      <c r="D252" t="s">
        <v>560</v>
      </c>
      <c r="E252" t="s">
        <v>1828</v>
      </c>
      <c r="F252">
        <v>780</v>
      </c>
      <c r="G252" t="s">
        <v>1829</v>
      </c>
      <c r="H252" t="s">
        <v>1830</v>
      </c>
    </row>
    <row r="253" spans="1:8" hidden="1">
      <c r="A253" t="s">
        <v>1831</v>
      </c>
      <c r="B253" t="s">
        <v>1833</v>
      </c>
      <c r="C253" t="s">
        <v>1832</v>
      </c>
      <c r="D253" t="s">
        <v>560</v>
      </c>
      <c r="E253" t="s">
        <v>1834</v>
      </c>
      <c r="F253">
        <v>788</v>
      </c>
      <c r="G253" t="s">
        <v>1835</v>
      </c>
      <c r="H253" t="s">
        <v>1836</v>
      </c>
    </row>
    <row r="254" spans="1:8" hidden="1">
      <c r="A254" t="s">
        <v>2062</v>
      </c>
      <c r="B254" t="s">
        <v>1838</v>
      </c>
      <c r="C254" t="s">
        <v>1837</v>
      </c>
      <c r="D254" t="s">
        <v>560</v>
      </c>
      <c r="E254" t="s">
        <v>1839</v>
      </c>
      <c r="F254">
        <v>792</v>
      </c>
      <c r="G254" t="s">
        <v>1840</v>
      </c>
      <c r="H254" t="s">
        <v>1841</v>
      </c>
    </row>
    <row r="255" spans="1:8" hidden="1">
      <c r="A255" t="s">
        <v>1842</v>
      </c>
      <c r="B255" t="s">
        <v>1843</v>
      </c>
      <c r="C255" t="s">
        <v>2063</v>
      </c>
      <c r="D255" t="s">
        <v>560</v>
      </c>
      <c r="E255" t="s">
        <v>1844</v>
      </c>
      <c r="F255">
        <v>795</v>
      </c>
      <c r="G255" t="s">
        <v>1845</v>
      </c>
      <c r="H255" t="s">
        <v>1846</v>
      </c>
    </row>
    <row r="256" spans="1:8" hidden="1">
      <c r="A256" t="s">
        <v>1847</v>
      </c>
      <c r="B256" t="s">
        <v>1848</v>
      </c>
      <c r="C256" t="s">
        <v>2064</v>
      </c>
      <c r="D256" t="s">
        <v>602</v>
      </c>
      <c r="E256" t="s">
        <v>1849</v>
      </c>
      <c r="F256">
        <v>796</v>
      </c>
      <c r="G256" t="s">
        <v>1850</v>
      </c>
      <c r="H256" t="s">
        <v>1851</v>
      </c>
    </row>
    <row r="257" spans="1:8" hidden="1">
      <c r="A257" t="s">
        <v>1852</v>
      </c>
      <c r="B257" t="s">
        <v>1853</v>
      </c>
      <c r="C257" t="s">
        <v>2065</v>
      </c>
      <c r="D257" t="s">
        <v>560</v>
      </c>
      <c r="E257" t="s">
        <v>1854</v>
      </c>
      <c r="F257">
        <v>798</v>
      </c>
      <c r="G257" t="s">
        <v>1855</v>
      </c>
      <c r="H257" t="s">
        <v>1856</v>
      </c>
    </row>
    <row r="258" spans="1:8" hidden="1">
      <c r="A258" t="s">
        <v>1857</v>
      </c>
      <c r="B258" t="s">
        <v>1859</v>
      </c>
      <c r="C258" t="s">
        <v>1858</v>
      </c>
      <c r="D258" t="s">
        <v>560</v>
      </c>
      <c r="E258" t="s">
        <v>1860</v>
      </c>
      <c r="F258">
        <v>800</v>
      </c>
      <c r="G258" t="s">
        <v>1861</v>
      </c>
      <c r="H258" t="s">
        <v>1862</v>
      </c>
    </row>
    <row r="259" spans="1:8" hidden="1">
      <c r="A259" t="s">
        <v>2066</v>
      </c>
      <c r="B259" t="s">
        <v>1864</v>
      </c>
      <c r="C259" t="s">
        <v>1863</v>
      </c>
      <c r="D259" t="s">
        <v>560</v>
      </c>
      <c r="E259" t="s">
        <v>1865</v>
      </c>
      <c r="F259">
        <v>804</v>
      </c>
      <c r="G259" t="s">
        <v>1866</v>
      </c>
      <c r="H259" t="s">
        <v>1867</v>
      </c>
    </row>
    <row r="260" spans="1:8" hidden="1">
      <c r="A260" t="s">
        <v>1868</v>
      </c>
      <c r="B260" t="s">
        <v>1870</v>
      </c>
      <c r="C260" t="s">
        <v>1869</v>
      </c>
      <c r="D260" t="s">
        <v>560</v>
      </c>
      <c r="E260" t="s">
        <v>1871</v>
      </c>
      <c r="F260">
        <v>784</v>
      </c>
      <c r="G260" t="s">
        <v>1872</v>
      </c>
      <c r="H260" t="s">
        <v>1873</v>
      </c>
    </row>
    <row r="261" spans="1:8" hidden="1">
      <c r="A261" t="s">
        <v>1874</v>
      </c>
      <c r="B261" t="s">
        <v>1876</v>
      </c>
      <c r="C261" t="s">
        <v>1875</v>
      </c>
      <c r="D261" t="s">
        <v>560</v>
      </c>
      <c r="E261" t="s">
        <v>1877</v>
      </c>
      <c r="F261">
        <v>826</v>
      </c>
      <c r="G261" t="s">
        <v>1878</v>
      </c>
      <c r="H261" t="s">
        <v>1879</v>
      </c>
    </row>
    <row r="262" spans="1:8" hidden="1">
      <c r="H262" t="s">
        <v>1880</v>
      </c>
    </row>
    <row r="263" spans="1:8" hidden="1">
      <c r="H263" t="s">
        <v>1881</v>
      </c>
    </row>
    <row r="264" spans="1:8" hidden="1">
      <c r="A264" t="s">
        <v>2067</v>
      </c>
      <c r="B264" t="s">
        <v>1882</v>
      </c>
      <c r="C264" t="s">
        <v>2068</v>
      </c>
      <c r="D264" t="s">
        <v>584</v>
      </c>
      <c r="E264" t="s">
        <v>1883</v>
      </c>
      <c r="F264">
        <v>581</v>
      </c>
      <c r="G264" t="s">
        <v>1884</v>
      </c>
      <c r="H264" t="s">
        <v>1885</v>
      </c>
    </row>
    <row r="265" spans="1:8" hidden="1">
      <c r="A265" t="s">
        <v>1886</v>
      </c>
      <c r="B265" t="s">
        <v>14</v>
      </c>
      <c r="C265" t="s">
        <v>1887</v>
      </c>
      <c r="D265" t="s">
        <v>560</v>
      </c>
      <c r="E265" t="s">
        <v>546</v>
      </c>
      <c r="F265">
        <v>840</v>
      </c>
      <c r="G265" t="s">
        <v>1888</v>
      </c>
      <c r="H265" t="s">
        <v>1889</v>
      </c>
    </row>
    <row r="266" spans="1:8" hidden="1">
      <c r="A266" t="s">
        <v>1890</v>
      </c>
    </row>
    <row r="267" spans="1:8" hidden="1">
      <c r="A267" t="s">
        <v>1891</v>
      </c>
      <c r="B267" t="s">
        <v>25</v>
      </c>
      <c r="C267" t="s">
        <v>1892</v>
      </c>
      <c r="D267" t="s">
        <v>560</v>
      </c>
      <c r="E267" t="s">
        <v>1893</v>
      </c>
      <c r="F267">
        <v>858</v>
      </c>
      <c r="G267" t="s">
        <v>1894</v>
      </c>
      <c r="H267" t="s">
        <v>1895</v>
      </c>
    </row>
    <row r="268" spans="1:8" hidden="1">
      <c r="A268" t="s">
        <v>1896</v>
      </c>
      <c r="B268" t="s">
        <v>1898</v>
      </c>
      <c r="C268" t="s">
        <v>1897</v>
      </c>
      <c r="D268" t="s">
        <v>560</v>
      </c>
      <c r="E268" t="s">
        <v>1899</v>
      </c>
      <c r="F268">
        <v>860</v>
      </c>
      <c r="G268" t="s">
        <v>1900</v>
      </c>
      <c r="H268" t="s">
        <v>1901</v>
      </c>
    </row>
    <row r="269" spans="1:8" hidden="1">
      <c r="A269" t="s">
        <v>1902</v>
      </c>
      <c r="B269" t="s">
        <v>1904</v>
      </c>
      <c r="C269" t="s">
        <v>1903</v>
      </c>
      <c r="D269" t="s">
        <v>560</v>
      </c>
      <c r="E269" t="s">
        <v>1905</v>
      </c>
      <c r="F269">
        <v>548</v>
      </c>
      <c r="G269" t="s">
        <v>1906</v>
      </c>
      <c r="H269" t="s">
        <v>1907</v>
      </c>
    </row>
    <row r="270" spans="1:8" hidden="1">
      <c r="A270" t="s">
        <v>1908</v>
      </c>
    </row>
    <row r="271" spans="1:8" hidden="1">
      <c r="A271" t="s">
        <v>1909</v>
      </c>
      <c r="B271" t="s">
        <v>1911</v>
      </c>
      <c r="C271" t="s">
        <v>1910</v>
      </c>
      <c r="D271" t="s">
        <v>560</v>
      </c>
      <c r="E271" t="s">
        <v>1912</v>
      </c>
      <c r="F271">
        <v>862</v>
      </c>
      <c r="G271" t="s">
        <v>1913</v>
      </c>
      <c r="H271" t="s">
        <v>1914</v>
      </c>
    </row>
    <row r="272" spans="1:8" hidden="1">
      <c r="A272" t="s">
        <v>2069</v>
      </c>
      <c r="B272" t="s">
        <v>1916</v>
      </c>
      <c r="C272" t="s">
        <v>1915</v>
      </c>
      <c r="D272" t="s">
        <v>560</v>
      </c>
      <c r="E272" t="s">
        <v>1917</v>
      </c>
      <c r="F272">
        <v>704</v>
      </c>
      <c r="G272" t="s">
        <v>1918</v>
      </c>
      <c r="H272" t="s">
        <v>1919</v>
      </c>
    </row>
    <row r="273" spans="1:8" hidden="1">
      <c r="A273" t="s">
        <v>2070</v>
      </c>
      <c r="B273" t="s">
        <v>1920</v>
      </c>
      <c r="C273" t="s">
        <v>2071</v>
      </c>
      <c r="D273" t="s">
        <v>602</v>
      </c>
      <c r="E273" t="s">
        <v>1921</v>
      </c>
      <c r="F273">
        <v>92</v>
      </c>
      <c r="G273" t="s">
        <v>1922</v>
      </c>
      <c r="H273" t="s">
        <v>1923</v>
      </c>
    </row>
    <row r="274" spans="1:8" hidden="1">
      <c r="A274" t="s">
        <v>2072</v>
      </c>
      <c r="B274" t="s">
        <v>1925</v>
      </c>
      <c r="C274" t="s">
        <v>1924</v>
      </c>
      <c r="D274" t="s">
        <v>584</v>
      </c>
      <c r="E274" t="s">
        <v>1926</v>
      </c>
      <c r="F274">
        <v>850</v>
      </c>
      <c r="G274" t="s">
        <v>1927</v>
      </c>
      <c r="H274" t="s">
        <v>1928</v>
      </c>
    </row>
    <row r="275" spans="1:8" hidden="1">
      <c r="A275" t="s">
        <v>1929</v>
      </c>
      <c r="B275" t="s">
        <v>1931</v>
      </c>
      <c r="C275" t="s">
        <v>1930</v>
      </c>
      <c r="D275" t="s">
        <v>995</v>
      </c>
      <c r="E275" t="s">
        <v>1932</v>
      </c>
      <c r="F275">
        <v>876</v>
      </c>
      <c r="G275" t="s">
        <v>1933</v>
      </c>
      <c r="H275" t="s">
        <v>1934</v>
      </c>
    </row>
    <row r="276" spans="1:8" hidden="1">
      <c r="A276" t="s">
        <v>2073</v>
      </c>
      <c r="B276" t="s">
        <v>1935</v>
      </c>
      <c r="C276" t="s">
        <v>2074</v>
      </c>
      <c r="D276" t="s">
        <v>2075</v>
      </c>
      <c r="E276" t="s">
        <v>1936</v>
      </c>
      <c r="F276">
        <v>732</v>
      </c>
      <c r="G276" t="s">
        <v>1937</v>
      </c>
      <c r="H276" t="s">
        <v>1938</v>
      </c>
    </row>
    <row r="277" spans="1:8" hidden="1">
      <c r="A277" t="s">
        <v>1939</v>
      </c>
      <c r="B277" t="s">
        <v>1941</v>
      </c>
      <c r="C277" t="s">
        <v>1940</v>
      </c>
      <c r="D277" t="s">
        <v>560</v>
      </c>
      <c r="E277" t="s">
        <v>1942</v>
      </c>
      <c r="F277">
        <v>887</v>
      </c>
      <c r="G277" t="s">
        <v>1943</v>
      </c>
      <c r="H277" t="s">
        <v>1944</v>
      </c>
    </row>
    <row r="278" spans="1:8" hidden="1">
      <c r="A278" t="s">
        <v>1945</v>
      </c>
      <c r="B278" t="s">
        <v>1947</v>
      </c>
      <c r="C278" t="s">
        <v>1946</v>
      </c>
      <c r="D278" t="s">
        <v>560</v>
      </c>
      <c r="E278" t="s">
        <v>1948</v>
      </c>
      <c r="F278">
        <v>894</v>
      </c>
      <c r="G278" t="s">
        <v>1949</v>
      </c>
      <c r="H278" t="s">
        <v>1950</v>
      </c>
    </row>
    <row r="279" spans="1:8" hidden="1">
      <c r="A279" t="s">
        <v>1951</v>
      </c>
      <c r="B279" t="s">
        <v>1953</v>
      </c>
      <c r="C279" t="s">
        <v>1952</v>
      </c>
      <c r="D279" t="s">
        <v>560</v>
      </c>
      <c r="E279" t="s">
        <v>1954</v>
      </c>
      <c r="F279">
        <v>716</v>
      </c>
      <c r="G279" t="s">
        <v>1955</v>
      </c>
      <c r="H279" t="s">
        <v>1956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6C60-20A7-4175-A84D-B48EFCB65200}">
  <dimension ref="A1:G1318"/>
  <sheetViews>
    <sheetView workbookViewId="0">
      <selection sqref="A1:G1"/>
    </sheetView>
  </sheetViews>
  <sheetFormatPr defaultRowHeight="15"/>
  <cols>
    <col min="1" max="1" width="44.5703125" bestFit="1" customWidth="1"/>
    <col min="2" max="3" width="22.85546875" style="217" customWidth="1"/>
    <col min="4" max="7" width="22.85546875" customWidth="1"/>
    <col min="8" max="8" width="37.7109375" bestFit="1" customWidth="1"/>
    <col min="9" max="9" width="37.140625" bestFit="1" customWidth="1"/>
    <col min="10" max="10" width="20.7109375" bestFit="1" customWidth="1"/>
    <col min="11" max="11" width="37.7109375" bestFit="1" customWidth="1"/>
    <col min="12" max="12" width="37.140625" bestFit="1" customWidth="1"/>
    <col min="13" max="13" width="20.7109375" bestFit="1" customWidth="1"/>
    <col min="14" max="66" width="32.85546875" bestFit="1" customWidth="1"/>
    <col min="67" max="67" width="38" bestFit="1" customWidth="1"/>
    <col min="68" max="68" width="20.7109375" bestFit="1" customWidth="1"/>
  </cols>
  <sheetData>
    <row r="1" spans="1:7" ht="63" customHeight="1">
      <c r="A1" s="234" t="s">
        <v>2108</v>
      </c>
      <c r="B1" s="234"/>
      <c r="C1" s="234"/>
      <c r="D1" s="234"/>
      <c r="E1" s="234"/>
      <c r="F1" s="234"/>
      <c r="G1" s="234"/>
    </row>
    <row r="2" spans="1:7">
      <c r="B2" s="213" t="s">
        <v>2104</v>
      </c>
      <c r="C2" s="213" t="s">
        <v>2105</v>
      </c>
    </row>
    <row r="3" spans="1:7">
      <c r="B3" t="s">
        <v>2103</v>
      </c>
      <c r="C3"/>
      <c r="D3" t="s">
        <v>2102</v>
      </c>
      <c r="F3" t="s">
        <v>2106</v>
      </c>
      <c r="G3" t="s">
        <v>2107</v>
      </c>
    </row>
    <row r="4" spans="1:7">
      <c r="A4" s="213" t="s">
        <v>8</v>
      </c>
      <c r="B4" s="217" t="s">
        <v>536</v>
      </c>
      <c r="C4" t="s">
        <v>534</v>
      </c>
      <c r="D4" s="217" t="s">
        <v>536</v>
      </c>
      <c r="E4" t="s">
        <v>534</v>
      </c>
    </row>
    <row r="5" spans="1:7">
      <c r="A5" t="s">
        <v>95</v>
      </c>
      <c r="B5" s="218">
        <v>4.53592</v>
      </c>
      <c r="C5" s="216">
        <v>26</v>
      </c>
      <c r="D5" s="218"/>
      <c r="E5" s="216"/>
      <c r="F5" s="218">
        <v>4.53592</v>
      </c>
      <c r="G5" s="216">
        <v>26</v>
      </c>
    </row>
    <row r="6" spans="1:7">
      <c r="A6" t="s">
        <v>121</v>
      </c>
      <c r="B6" s="218">
        <v>11061.022356799998</v>
      </c>
      <c r="C6" s="216">
        <v>35249.33</v>
      </c>
      <c r="D6" s="218">
        <v>577.91249535999987</v>
      </c>
      <c r="E6" s="216">
        <v>3929.92</v>
      </c>
      <c r="F6" s="218">
        <v>11638.934852159999</v>
      </c>
      <c r="G6" s="216">
        <v>39179.25</v>
      </c>
    </row>
    <row r="7" spans="1:7">
      <c r="A7" t="s">
        <v>248</v>
      </c>
      <c r="B7" s="218">
        <v>253.10433600000002</v>
      </c>
      <c r="C7" s="216">
        <v>1250.78</v>
      </c>
      <c r="D7" s="218"/>
      <c r="E7" s="216"/>
      <c r="F7" s="218">
        <v>253.10433600000002</v>
      </c>
      <c r="G7" s="216">
        <v>1250.78</v>
      </c>
    </row>
    <row r="8" spans="1:7">
      <c r="A8" t="s">
        <v>15</v>
      </c>
      <c r="B8" s="218">
        <v>2040.7104079999999</v>
      </c>
      <c r="C8" s="216">
        <v>17740.740000000002</v>
      </c>
      <c r="D8" s="218">
        <v>75.749864000000002</v>
      </c>
      <c r="E8" s="216">
        <v>3382.05</v>
      </c>
      <c r="F8" s="218">
        <v>2116.4602719999998</v>
      </c>
      <c r="G8" s="216">
        <v>21122.79</v>
      </c>
    </row>
    <row r="9" spans="1:7">
      <c r="A9" t="s">
        <v>67</v>
      </c>
      <c r="B9" s="218">
        <v>2400.8624560000003</v>
      </c>
      <c r="C9" s="216">
        <v>11671.36</v>
      </c>
      <c r="D9" s="218">
        <v>839.59879200000012</v>
      </c>
      <c r="E9" s="216">
        <v>11589.5</v>
      </c>
      <c r="F9" s="218">
        <v>3240.4612480000005</v>
      </c>
      <c r="G9" s="216">
        <v>23260.86</v>
      </c>
    </row>
    <row r="10" spans="1:7">
      <c r="A10" t="s">
        <v>207</v>
      </c>
      <c r="B10" s="218"/>
      <c r="C10" s="216"/>
      <c r="D10" s="218">
        <v>4.53592</v>
      </c>
      <c r="E10" s="216">
        <v>72</v>
      </c>
      <c r="F10" s="218">
        <v>4.53592</v>
      </c>
      <c r="G10" s="216">
        <v>72</v>
      </c>
    </row>
    <row r="11" spans="1:7">
      <c r="A11" t="s">
        <v>151</v>
      </c>
      <c r="B11" s="218">
        <v>48788.355519999997</v>
      </c>
      <c r="C11" s="216">
        <v>66320.639999999999</v>
      </c>
      <c r="D11" s="218">
        <v>500.31197600000002</v>
      </c>
      <c r="E11" s="216">
        <v>1355</v>
      </c>
      <c r="F11" s="218">
        <v>49288.667495999995</v>
      </c>
      <c r="G11" s="216">
        <v>67675.64</v>
      </c>
    </row>
    <row r="12" spans="1:7">
      <c r="A12" t="s">
        <v>100</v>
      </c>
      <c r="B12" s="218">
        <v>1.7962243199999999</v>
      </c>
      <c r="C12" s="216">
        <v>156.25</v>
      </c>
      <c r="D12" s="218"/>
      <c r="E12" s="216"/>
      <c r="F12" s="218">
        <v>1.7962243199999999</v>
      </c>
      <c r="G12" s="216">
        <v>156.25</v>
      </c>
    </row>
    <row r="13" spans="1:7">
      <c r="A13" t="s">
        <v>17</v>
      </c>
      <c r="B13" s="218">
        <v>196.85892799999996</v>
      </c>
      <c r="C13" s="216">
        <v>810.7399999999999</v>
      </c>
      <c r="D13" s="218">
        <v>176.90088</v>
      </c>
      <c r="E13" s="216">
        <v>867</v>
      </c>
      <c r="F13" s="218">
        <v>373.75980799999996</v>
      </c>
      <c r="G13" s="216">
        <v>1677.7399999999998</v>
      </c>
    </row>
    <row r="14" spans="1:7">
      <c r="A14" t="s">
        <v>124</v>
      </c>
      <c r="B14" s="218">
        <v>691.7278</v>
      </c>
      <c r="C14" s="216">
        <v>1423.1000000000001</v>
      </c>
      <c r="D14" s="218">
        <v>75.572963119999997</v>
      </c>
      <c r="E14" s="216">
        <v>604</v>
      </c>
      <c r="F14" s="218">
        <v>767.30076312000006</v>
      </c>
      <c r="G14" s="216">
        <v>2027.1000000000001</v>
      </c>
    </row>
    <row r="15" spans="1:7">
      <c r="A15" t="s">
        <v>314</v>
      </c>
      <c r="B15" s="218"/>
      <c r="C15" s="216"/>
      <c r="D15" s="218">
        <v>492.14732000000004</v>
      </c>
      <c r="E15" s="216">
        <v>4478</v>
      </c>
      <c r="F15" s="218">
        <v>492.14732000000004</v>
      </c>
      <c r="G15" s="216">
        <v>4478</v>
      </c>
    </row>
    <row r="16" spans="1:7">
      <c r="A16" t="s">
        <v>312</v>
      </c>
      <c r="B16" s="218"/>
      <c r="C16" s="216"/>
      <c r="D16" s="218">
        <v>4076.4313040000006</v>
      </c>
      <c r="E16" s="216">
        <v>15801.9</v>
      </c>
      <c r="F16" s="218">
        <v>4076.4313040000006</v>
      </c>
      <c r="G16" s="216">
        <v>15801.9</v>
      </c>
    </row>
    <row r="17" spans="1:7">
      <c r="A17" t="s">
        <v>69</v>
      </c>
      <c r="B17" s="218">
        <v>187.78708799999998</v>
      </c>
      <c r="C17" s="216">
        <v>3796.75</v>
      </c>
      <c r="D17" s="218"/>
      <c r="E17" s="216"/>
      <c r="F17" s="218">
        <v>187.78708799999998</v>
      </c>
      <c r="G17" s="216">
        <v>3796.75</v>
      </c>
    </row>
    <row r="18" spans="1:7">
      <c r="A18" t="s">
        <v>86</v>
      </c>
      <c r="B18" s="218">
        <v>2.0411640000000002</v>
      </c>
      <c r="C18" s="216">
        <v>1326.25</v>
      </c>
      <c r="D18" s="218"/>
      <c r="E18" s="216"/>
      <c r="F18" s="218">
        <v>2.0411640000000002</v>
      </c>
      <c r="G18" s="216">
        <v>1326.25</v>
      </c>
    </row>
    <row r="19" spans="1:7">
      <c r="A19" t="s">
        <v>90</v>
      </c>
      <c r="B19" s="218">
        <v>32.658624000000003</v>
      </c>
      <c r="C19" s="216">
        <v>818.3</v>
      </c>
      <c r="D19" s="218">
        <v>691.50100399999997</v>
      </c>
      <c r="E19" s="216">
        <v>18679.36</v>
      </c>
      <c r="F19" s="218">
        <v>724.159628</v>
      </c>
      <c r="G19" s="216">
        <v>19497.66</v>
      </c>
    </row>
    <row r="20" spans="1:7">
      <c r="A20" t="s">
        <v>148</v>
      </c>
      <c r="B20" s="218">
        <v>1936.8378400000011</v>
      </c>
      <c r="C20" s="216">
        <v>18289.759999999998</v>
      </c>
      <c r="D20" s="218"/>
      <c r="E20" s="216"/>
      <c r="F20" s="218">
        <v>1936.8378400000011</v>
      </c>
      <c r="G20" s="216">
        <v>18289.759999999998</v>
      </c>
    </row>
    <row r="21" spans="1:7">
      <c r="A21" t="s">
        <v>19</v>
      </c>
      <c r="B21" s="218">
        <v>9666.5898304000057</v>
      </c>
      <c r="C21" s="216">
        <v>54848.290000000008</v>
      </c>
      <c r="D21" s="218"/>
      <c r="E21" s="216"/>
      <c r="F21" s="218">
        <v>9666.5898304000057</v>
      </c>
      <c r="G21" s="216">
        <v>54848.290000000008</v>
      </c>
    </row>
    <row r="22" spans="1:7">
      <c r="A22" t="s">
        <v>21</v>
      </c>
      <c r="B22" s="218">
        <v>692.18139200000007</v>
      </c>
      <c r="C22" s="216">
        <v>3404.51</v>
      </c>
      <c r="D22" s="218">
        <v>226.79599999999999</v>
      </c>
      <c r="E22" s="216">
        <v>486.15999999999997</v>
      </c>
      <c r="F22" s="218">
        <v>918.97739200000001</v>
      </c>
      <c r="G22" s="216">
        <v>3890.67</v>
      </c>
    </row>
    <row r="23" spans="1:7">
      <c r="A23" t="s">
        <v>226</v>
      </c>
      <c r="B23" s="218"/>
      <c r="C23" s="216"/>
      <c r="D23" s="218">
        <v>14.968536</v>
      </c>
      <c r="E23" s="216">
        <v>106.14</v>
      </c>
      <c r="F23" s="218">
        <v>14.968536</v>
      </c>
      <c r="G23" s="216">
        <v>106.14</v>
      </c>
    </row>
    <row r="24" spans="1:7">
      <c r="A24" t="s">
        <v>82</v>
      </c>
      <c r="B24" s="218">
        <v>37810.521936000005</v>
      </c>
      <c r="C24" s="216">
        <v>83048.649999999994</v>
      </c>
      <c r="D24" s="218">
        <v>5996.0371839200006</v>
      </c>
      <c r="E24" s="216">
        <v>13438.15</v>
      </c>
      <c r="F24" s="218">
        <v>43806.559119920006</v>
      </c>
      <c r="G24" s="216">
        <v>96486.799999999988</v>
      </c>
    </row>
    <row r="25" spans="1:7">
      <c r="A25" t="s">
        <v>210</v>
      </c>
      <c r="B25" s="218"/>
      <c r="C25" s="216"/>
      <c r="D25" s="218">
        <v>64.863655999999992</v>
      </c>
      <c r="E25" s="216">
        <v>269.5</v>
      </c>
      <c r="F25" s="218">
        <v>64.863655999999992</v>
      </c>
      <c r="G25" s="216">
        <v>269.5</v>
      </c>
    </row>
    <row r="26" spans="1:7">
      <c r="A26" t="s">
        <v>157</v>
      </c>
      <c r="B26" s="218">
        <v>11650.056927999998</v>
      </c>
      <c r="C26" s="216">
        <v>33364.54</v>
      </c>
      <c r="D26" s="218">
        <v>158.75720000000001</v>
      </c>
      <c r="E26" s="216">
        <v>228.5</v>
      </c>
      <c r="F26" s="218">
        <v>11808.814127999998</v>
      </c>
      <c r="G26" s="216">
        <v>33593.040000000001</v>
      </c>
    </row>
    <row r="27" spans="1:7">
      <c r="A27" t="s">
        <v>40</v>
      </c>
      <c r="B27" s="218">
        <v>18963.54754</v>
      </c>
      <c r="C27" s="216">
        <v>26833.580000000005</v>
      </c>
      <c r="D27" s="218">
        <v>12254.241472</v>
      </c>
      <c r="E27" s="216">
        <v>13234.7</v>
      </c>
      <c r="F27" s="218">
        <v>31217.789012000001</v>
      </c>
      <c r="G27" s="216">
        <v>40068.280000000006</v>
      </c>
    </row>
    <row r="28" spans="1:7">
      <c r="A28" t="s">
        <v>79</v>
      </c>
      <c r="B28" s="218">
        <v>1627.9416879999994</v>
      </c>
      <c r="C28" s="216">
        <v>6438.09</v>
      </c>
      <c r="D28" s="218"/>
      <c r="E28" s="216"/>
      <c r="F28" s="218">
        <v>1627.9416879999994</v>
      </c>
      <c r="G28" s="216">
        <v>6438.09</v>
      </c>
    </row>
    <row r="29" spans="1:7">
      <c r="A29" t="s">
        <v>56</v>
      </c>
      <c r="B29" s="218">
        <v>8999.9003088000027</v>
      </c>
      <c r="C29" s="216">
        <v>14626.62</v>
      </c>
      <c r="D29" s="218">
        <v>3.175144</v>
      </c>
      <c r="E29" s="216">
        <v>33</v>
      </c>
      <c r="F29" s="218">
        <v>9003.0754528000034</v>
      </c>
      <c r="G29" s="216">
        <v>14659.62</v>
      </c>
    </row>
    <row r="30" spans="1:7">
      <c r="A30" t="s">
        <v>189</v>
      </c>
      <c r="B30" s="218">
        <v>29.48348</v>
      </c>
      <c r="C30" s="216">
        <v>261</v>
      </c>
      <c r="D30" s="218"/>
      <c r="E30" s="216"/>
      <c r="F30" s="218">
        <v>29.48348</v>
      </c>
      <c r="G30" s="216">
        <v>261</v>
      </c>
    </row>
    <row r="31" spans="1:7">
      <c r="A31" t="s">
        <v>98</v>
      </c>
      <c r="B31" s="218">
        <v>13.607759999999999</v>
      </c>
      <c r="C31" s="216">
        <v>93</v>
      </c>
      <c r="D31" s="218"/>
      <c r="E31" s="216"/>
      <c r="F31" s="218">
        <v>13.607759999999999</v>
      </c>
      <c r="G31" s="216">
        <v>93</v>
      </c>
    </row>
    <row r="32" spans="1:7">
      <c r="A32" t="s">
        <v>33</v>
      </c>
      <c r="B32" s="218">
        <v>4.7173568000000001</v>
      </c>
      <c r="C32" s="216">
        <v>155.5</v>
      </c>
      <c r="D32" s="218"/>
      <c r="E32" s="216"/>
      <c r="F32" s="218">
        <v>4.7173568000000001</v>
      </c>
      <c r="G32" s="216">
        <v>155.5</v>
      </c>
    </row>
    <row r="33" spans="1:7">
      <c r="A33" t="s">
        <v>194</v>
      </c>
      <c r="B33" s="218">
        <v>9.0718399999999999</v>
      </c>
      <c r="C33" s="216">
        <v>125</v>
      </c>
      <c r="D33" s="218"/>
      <c r="E33" s="216"/>
      <c r="F33" s="218">
        <v>9.0718399999999999</v>
      </c>
      <c r="G33" s="216">
        <v>125</v>
      </c>
    </row>
    <row r="34" spans="1:7">
      <c r="A34" t="s">
        <v>47</v>
      </c>
      <c r="B34" s="218">
        <v>141.97429600000001</v>
      </c>
      <c r="C34" s="216">
        <v>1371.97</v>
      </c>
      <c r="D34" s="218">
        <v>9.0718399999999999</v>
      </c>
      <c r="E34" s="216">
        <v>37.64</v>
      </c>
      <c r="F34" s="218">
        <v>151.04613600000002</v>
      </c>
      <c r="G34" s="216">
        <v>1409.6100000000001</v>
      </c>
    </row>
    <row r="35" spans="1:7">
      <c r="A35" t="s">
        <v>179</v>
      </c>
      <c r="B35" s="218">
        <v>18.14368</v>
      </c>
      <c r="C35" s="216">
        <v>31.29</v>
      </c>
      <c r="D35" s="218">
        <v>14.514944</v>
      </c>
      <c r="E35" s="216">
        <v>62.39</v>
      </c>
      <c r="F35" s="218">
        <v>32.658624000000003</v>
      </c>
      <c r="G35" s="216">
        <v>93.68</v>
      </c>
    </row>
    <row r="36" spans="1:7">
      <c r="A36" t="s">
        <v>109</v>
      </c>
      <c r="B36" s="218">
        <v>321.14313600000003</v>
      </c>
      <c r="C36" s="216">
        <v>1081.27</v>
      </c>
      <c r="D36" s="218"/>
      <c r="E36" s="216"/>
      <c r="F36" s="218">
        <v>321.14313600000003</v>
      </c>
      <c r="G36" s="216">
        <v>1081.27</v>
      </c>
    </row>
    <row r="37" spans="1:7">
      <c r="A37" t="s">
        <v>294</v>
      </c>
      <c r="B37" s="218"/>
      <c r="C37" s="216"/>
      <c r="D37" s="218">
        <v>657.25480799999991</v>
      </c>
      <c r="E37" s="216">
        <v>1014.3</v>
      </c>
      <c r="F37" s="218">
        <v>657.25480799999991</v>
      </c>
      <c r="G37" s="216">
        <v>1014.3</v>
      </c>
    </row>
    <row r="38" spans="1:7">
      <c r="A38" t="s">
        <v>26</v>
      </c>
      <c r="B38" s="218">
        <v>533.42419199999995</v>
      </c>
      <c r="C38" s="216">
        <v>2330.44</v>
      </c>
      <c r="D38" s="218">
        <v>44.905608000000001</v>
      </c>
      <c r="E38" s="216">
        <v>1009.36</v>
      </c>
      <c r="F38" s="218">
        <v>578.32979999999998</v>
      </c>
      <c r="G38" s="216">
        <v>3339.8</v>
      </c>
    </row>
    <row r="39" spans="1:7">
      <c r="A39" t="s">
        <v>23</v>
      </c>
      <c r="B39" s="218">
        <v>2080.172912</v>
      </c>
      <c r="C39" s="216">
        <v>4554.12</v>
      </c>
      <c r="D39" s="218">
        <v>493.96168799999998</v>
      </c>
      <c r="E39" s="216">
        <v>1749.3600000000001</v>
      </c>
      <c r="F39" s="218">
        <v>2574.1345999999999</v>
      </c>
      <c r="G39" s="216">
        <v>6303.48</v>
      </c>
    </row>
    <row r="40" spans="1:7">
      <c r="A40" t="s">
        <v>165</v>
      </c>
      <c r="B40" s="218">
        <v>4.9895119999999995</v>
      </c>
      <c r="C40" s="216">
        <v>58.5</v>
      </c>
      <c r="D40" s="218"/>
      <c r="E40" s="216"/>
      <c r="F40" s="218">
        <v>4.9895119999999995</v>
      </c>
      <c r="G40" s="216">
        <v>58.5</v>
      </c>
    </row>
    <row r="41" spans="1:7">
      <c r="A41" t="s">
        <v>104</v>
      </c>
      <c r="B41" s="218">
        <v>0.63502879999999995</v>
      </c>
      <c r="C41" s="216">
        <v>73.75</v>
      </c>
      <c r="D41" s="218"/>
      <c r="E41" s="216"/>
      <c r="F41" s="218">
        <v>0.63502879999999995</v>
      </c>
      <c r="G41" s="216">
        <v>73.75</v>
      </c>
    </row>
    <row r="42" spans="1:7">
      <c r="A42" t="s">
        <v>299</v>
      </c>
      <c r="B42" s="218"/>
      <c r="C42" s="216"/>
      <c r="D42" s="218">
        <v>45.812791999999995</v>
      </c>
      <c r="E42" s="216">
        <v>69.7</v>
      </c>
      <c r="F42" s="218">
        <v>45.812791999999995</v>
      </c>
      <c r="G42" s="216">
        <v>69.7</v>
      </c>
    </row>
    <row r="43" spans="1:7">
      <c r="A43" t="s">
        <v>84</v>
      </c>
      <c r="B43" s="218">
        <v>181.43679999999998</v>
      </c>
      <c r="C43" s="216">
        <v>574</v>
      </c>
      <c r="D43" s="218">
        <v>114.98557199999999</v>
      </c>
      <c r="E43" s="216">
        <v>1197.83</v>
      </c>
      <c r="F43" s="218">
        <v>296.422372</v>
      </c>
      <c r="G43" s="216">
        <v>1771.83</v>
      </c>
    </row>
    <row r="44" spans="1:7">
      <c r="A44" t="s">
        <v>93</v>
      </c>
      <c r="B44" s="218">
        <v>4.9895119999999995</v>
      </c>
      <c r="C44" s="216">
        <v>73.900000000000006</v>
      </c>
      <c r="D44" s="218"/>
      <c r="E44" s="216"/>
      <c r="F44" s="218">
        <v>4.9895119999999995</v>
      </c>
      <c r="G44" s="216">
        <v>73.900000000000006</v>
      </c>
    </row>
    <row r="45" spans="1:7">
      <c r="A45" t="s">
        <v>183</v>
      </c>
      <c r="B45" s="218">
        <v>164.20030399999999</v>
      </c>
      <c r="C45" s="216">
        <v>461.18000000000006</v>
      </c>
      <c r="D45" s="218"/>
      <c r="E45" s="216"/>
      <c r="F45" s="218">
        <v>164.20030399999999</v>
      </c>
      <c r="G45" s="216">
        <v>461.18000000000006</v>
      </c>
    </row>
    <row r="46" spans="1:7">
      <c r="A46" t="s">
        <v>281</v>
      </c>
      <c r="B46" s="218">
        <v>0.453592</v>
      </c>
      <c r="C46" s="216">
        <v>72.8</v>
      </c>
      <c r="D46" s="218"/>
      <c r="E46" s="216"/>
      <c r="F46" s="218">
        <v>0.453592</v>
      </c>
      <c r="G46" s="216">
        <v>72.8</v>
      </c>
    </row>
    <row r="47" spans="1:7">
      <c r="A47" t="s">
        <v>298</v>
      </c>
      <c r="B47" s="218"/>
      <c r="C47" s="216"/>
      <c r="D47" s="218">
        <v>142.427888</v>
      </c>
      <c r="E47" s="216">
        <v>251.2</v>
      </c>
      <c r="F47" s="218">
        <v>142.427888</v>
      </c>
      <c r="G47" s="216">
        <v>251.2</v>
      </c>
    </row>
    <row r="48" spans="1:7">
      <c r="A48" t="s">
        <v>107</v>
      </c>
      <c r="B48" s="218">
        <v>26.988724000000001</v>
      </c>
      <c r="C48" s="216">
        <v>987.05</v>
      </c>
      <c r="D48" s="218"/>
      <c r="E48" s="216"/>
      <c r="F48" s="218">
        <v>26.988724000000001</v>
      </c>
      <c r="G48" s="216">
        <v>987.05</v>
      </c>
    </row>
    <row r="49" spans="1:7">
      <c r="A49" t="s">
        <v>96</v>
      </c>
      <c r="B49" s="218">
        <v>1065.9412000000002</v>
      </c>
      <c r="C49" s="216">
        <v>9697.7100000000009</v>
      </c>
      <c r="D49" s="218">
        <v>12842.550295999998</v>
      </c>
      <c r="E49" s="216">
        <v>46512.280000000006</v>
      </c>
      <c r="F49" s="218">
        <v>13908.491495999999</v>
      </c>
      <c r="G49" s="216">
        <v>56209.990000000005</v>
      </c>
    </row>
    <row r="50" spans="1:7">
      <c r="A50" t="s">
        <v>163</v>
      </c>
      <c r="B50" s="218">
        <v>2626.2976799999997</v>
      </c>
      <c r="C50" s="216">
        <v>10486.85</v>
      </c>
      <c r="D50" s="218">
        <v>953.4503840000001</v>
      </c>
      <c r="E50" s="216">
        <v>7372.38</v>
      </c>
      <c r="F50" s="218">
        <v>3579.7480639999999</v>
      </c>
      <c r="G50" s="216">
        <v>17859.23</v>
      </c>
    </row>
    <row r="51" spans="1:7">
      <c r="A51" t="s">
        <v>167</v>
      </c>
      <c r="B51" s="218">
        <v>2.4947560000000002</v>
      </c>
      <c r="C51" s="216">
        <v>70.5</v>
      </c>
      <c r="D51" s="218"/>
      <c r="E51" s="216"/>
      <c r="F51" s="218">
        <v>2.4947560000000002</v>
      </c>
      <c r="G51" s="216">
        <v>70.5</v>
      </c>
    </row>
    <row r="52" spans="1:7">
      <c r="A52" t="s">
        <v>143</v>
      </c>
      <c r="B52" s="218">
        <v>3440.9489119999998</v>
      </c>
      <c r="C52" s="216">
        <v>11741.18</v>
      </c>
      <c r="D52" s="218"/>
      <c r="E52" s="216"/>
      <c r="F52" s="218">
        <v>3440.9489119999998</v>
      </c>
      <c r="G52" s="216">
        <v>11741.18</v>
      </c>
    </row>
    <row r="53" spans="1:7">
      <c r="A53" t="s">
        <v>71</v>
      </c>
      <c r="B53" s="218">
        <v>19627.379431999998</v>
      </c>
      <c r="C53" s="216">
        <v>115254.20000000001</v>
      </c>
      <c r="D53" s="218">
        <v>3957.0912487999994</v>
      </c>
      <c r="E53" s="216">
        <v>23126.66</v>
      </c>
      <c r="F53" s="218">
        <v>23584.470680799997</v>
      </c>
      <c r="G53" s="216">
        <v>138380.86000000002</v>
      </c>
    </row>
    <row r="54" spans="1:7">
      <c r="A54" t="s">
        <v>203</v>
      </c>
      <c r="B54" s="218"/>
      <c r="C54" s="216"/>
      <c r="D54" s="218">
        <v>81.646559999999994</v>
      </c>
      <c r="E54" s="216">
        <v>180</v>
      </c>
      <c r="F54" s="218">
        <v>81.646559999999994</v>
      </c>
      <c r="G54" s="216">
        <v>180</v>
      </c>
    </row>
    <row r="55" spans="1:7">
      <c r="A55" t="s">
        <v>158</v>
      </c>
      <c r="B55" s="218">
        <v>8657.7105039999988</v>
      </c>
      <c r="C55" s="216">
        <v>20102.449999999997</v>
      </c>
      <c r="D55" s="218">
        <v>615.07075200000008</v>
      </c>
      <c r="E55" s="216">
        <v>3940.7200000000003</v>
      </c>
      <c r="F55" s="218">
        <v>9272.7812559999984</v>
      </c>
      <c r="G55" s="216">
        <v>24043.17</v>
      </c>
    </row>
    <row r="56" spans="1:7">
      <c r="A56" t="s">
        <v>301</v>
      </c>
      <c r="B56" s="218"/>
      <c r="C56" s="216"/>
      <c r="D56" s="218">
        <v>4.9895119999999995</v>
      </c>
      <c r="E56" s="216">
        <v>8</v>
      </c>
      <c r="F56" s="218">
        <v>4.9895119999999995</v>
      </c>
      <c r="G56" s="216">
        <v>8</v>
      </c>
    </row>
    <row r="57" spans="1:7">
      <c r="A57" t="s">
        <v>190</v>
      </c>
      <c r="B57" s="218">
        <v>15.875719999999999</v>
      </c>
      <c r="C57" s="216">
        <v>24.5</v>
      </c>
      <c r="D57" s="218"/>
      <c r="E57" s="216"/>
      <c r="F57" s="218">
        <v>15.875719999999999</v>
      </c>
      <c r="G57" s="216">
        <v>24.5</v>
      </c>
    </row>
    <row r="58" spans="1:7">
      <c r="A58" t="s">
        <v>239</v>
      </c>
      <c r="B58" s="218"/>
      <c r="C58" s="216"/>
      <c r="D58" s="218">
        <v>11.793392000000001</v>
      </c>
      <c r="E58" s="216">
        <v>185.55</v>
      </c>
      <c r="F58" s="218">
        <v>11.793392000000001</v>
      </c>
      <c r="G58" s="216">
        <v>185.55</v>
      </c>
    </row>
    <row r="59" spans="1:7">
      <c r="A59" t="s">
        <v>87</v>
      </c>
      <c r="B59" s="218">
        <v>1422.6913079999999</v>
      </c>
      <c r="C59" s="216">
        <v>4955.4299999999985</v>
      </c>
      <c r="D59" s="218">
        <v>1.9958048000000002</v>
      </c>
      <c r="E59" s="216">
        <v>51</v>
      </c>
      <c r="F59" s="218">
        <v>1424.6871128</v>
      </c>
      <c r="G59" s="216">
        <v>5006.4299999999985</v>
      </c>
    </row>
    <row r="60" spans="1:7">
      <c r="A60" t="s">
        <v>139</v>
      </c>
      <c r="B60" s="218">
        <v>2200.8283840000004</v>
      </c>
      <c r="C60" s="216">
        <v>16307.919999999998</v>
      </c>
      <c r="D60" s="218">
        <v>83.914519999999996</v>
      </c>
      <c r="E60" s="216">
        <v>5577.5</v>
      </c>
      <c r="F60" s="218">
        <v>2284.7429040000002</v>
      </c>
      <c r="G60" s="216">
        <v>21885.42</v>
      </c>
    </row>
    <row r="61" spans="1:7">
      <c r="A61" t="s">
        <v>58</v>
      </c>
      <c r="B61" s="218">
        <v>7079.6639360000017</v>
      </c>
      <c r="C61" s="216">
        <v>21886.49</v>
      </c>
      <c r="D61" s="218">
        <v>1049.6118880000001</v>
      </c>
      <c r="E61" s="216">
        <v>7377.36</v>
      </c>
      <c r="F61" s="218">
        <v>8129.2758240000021</v>
      </c>
      <c r="G61" s="216">
        <v>29263.850000000002</v>
      </c>
    </row>
    <row r="62" spans="1:7">
      <c r="A62" t="s">
        <v>137</v>
      </c>
      <c r="B62" s="218">
        <v>8453.1405120000018</v>
      </c>
      <c r="C62" s="216">
        <v>31758.35</v>
      </c>
      <c r="D62" s="218">
        <v>132.44886400000001</v>
      </c>
      <c r="E62" s="216">
        <v>361.46000000000004</v>
      </c>
      <c r="F62" s="218">
        <v>8585.5893760000017</v>
      </c>
      <c r="G62" s="216">
        <v>32119.809999999998</v>
      </c>
    </row>
    <row r="63" spans="1:7">
      <c r="A63" t="s">
        <v>59</v>
      </c>
      <c r="B63" s="218">
        <v>35221.736314399997</v>
      </c>
      <c r="C63" s="216">
        <v>99161.299999999974</v>
      </c>
      <c r="D63" s="218">
        <v>223.26251832</v>
      </c>
      <c r="E63" s="216">
        <v>1931.72</v>
      </c>
      <c r="F63" s="218">
        <v>35444.998832719997</v>
      </c>
      <c r="G63" s="216">
        <v>101093.01999999997</v>
      </c>
    </row>
    <row r="64" spans="1:7">
      <c r="A64" t="s">
        <v>147</v>
      </c>
      <c r="B64" s="218">
        <v>1938.8336448</v>
      </c>
      <c r="C64" s="216">
        <v>4385.71</v>
      </c>
      <c r="D64" s="218">
        <v>402.33610400000003</v>
      </c>
      <c r="E64" s="216">
        <v>2316.25</v>
      </c>
      <c r="F64" s="218">
        <v>2341.1697488</v>
      </c>
      <c r="G64" s="216">
        <v>6701.96</v>
      </c>
    </row>
    <row r="65" spans="1:7">
      <c r="A65" t="s">
        <v>177</v>
      </c>
      <c r="B65" s="218">
        <v>18.14368</v>
      </c>
      <c r="C65" s="216">
        <v>60</v>
      </c>
      <c r="D65" s="218"/>
      <c r="E65" s="216"/>
      <c r="F65" s="218">
        <v>18.14368</v>
      </c>
      <c r="G65" s="216">
        <v>60</v>
      </c>
    </row>
    <row r="66" spans="1:7">
      <c r="A66" t="s">
        <v>130</v>
      </c>
      <c r="B66" s="218">
        <v>10818.1692</v>
      </c>
      <c r="C66" s="216">
        <v>43325.739999999991</v>
      </c>
      <c r="D66" s="218">
        <v>3647.7868639999997</v>
      </c>
      <c r="E66" s="216">
        <v>16542</v>
      </c>
      <c r="F66" s="218">
        <v>14465.956064</v>
      </c>
      <c r="G66" s="216">
        <v>59867.739999999991</v>
      </c>
    </row>
    <row r="67" spans="1:7">
      <c r="A67" t="s">
        <v>48</v>
      </c>
      <c r="B67" s="218">
        <v>3425.4360656000003</v>
      </c>
      <c r="C67" s="216">
        <v>19388.239999999998</v>
      </c>
      <c r="D67" s="218">
        <v>1009.695792</v>
      </c>
      <c r="E67" s="216">
        <v>17470.809999999998</v>
      </c>
      <c r="F67" s="218">
        <v>4435.1318576000003</v>
      </c>
      <c r="G67" s="216">
        <v>36859.049999999996</v>
      </c>
    </row>
    <row r="68" spans="1:7">
      <c r="A68" t="s">
        <v>300</v>
      </c>
      <c r="B68" s="218"/>
      <c r="C68" s="216"/>
      <c r="D68" s="218">
        <v>31.297848000000002</v>
      </c>
      <c r="E68" s="216">
        <v>74</v>
      </c>
      <c r="F68" s="218">
        <v>31.297848000000002</v>
      </c>
      <c r="G68" s="216">
        <v>74</v>
      </c>
    </row>
    <row r="69" spans="1:7">
      <c r="A69" t="s">
        <v>228</v>
      </c>
      <c r="B69" s="218">
        <v>680.38800000000003</v>
      </c>
      <c r="C69" s="216">
        <v>1200</v>
      </c>
      <c r="D69" s="218">
        <v>182.79757599999999</v>
      </c>
      <c r="E69" s="216">
        <v>726.4</v>
      </c>
      <c r="F69" s="218">
        <v>863.18557600000008</v>
      </c>
      <c r="G69" s="216">
        <v>1926.4</v>
      </c>
    </row>
    <row r="70" spans="1:7">
      <c r="A70" t="s">
        <v>101</v>
      </c>
      <c r="B70" s="218">
        <v>5.91483968</v>
      </c>
      <c r="C70" s="216">
        <v>370.95</v>
      </c>
      <c r="D70" s="218"/>
      <c r="E70" s="216"/>
      <c r="F70" s="218">
        <v>5.91483968</v>
      </c>
      <c r="G70" s="216">
        <v>370.95</v>
      </c>
    </row>
    <row r="71" spans="1:7">
      <c r="A71" t="s">
        <v>36</v>
      </c>
      <c r="B71" s="218">
        <v>1970.5170459999995</v>
      </c>
      <c r="C71" s="216">
        <v>15044.250000000002</v>
      </c>
      <c r="D71" s="218">
        <v>948.20686047999982</v>
      </c>
      <c r="E71" s="216">
        <v>6117.5000000000009</v>
      </c>
      <c r="F71" s="218">
        <v>2918.7239064799992</v>
      </c>
      <c r="G71" s="216">
        <v>21161.750000000004</v>
      </c>
    </row>
    <row r="72" spans="1:7">
      <c r="A72" t="s">
        <v>126</v>
      </c>
      <c r="B72" s="218"/>
      <c r="C72" s="216"/>
      <c r="D72" s="218">
        <v>160.117976</v>
      </c>
      <c r="E72" s="216">
        <v>512</v>
      </c>
      <c r="F72" s="218">
        <v>160.117976</v>
      </c>
      <c r="G72" s="216">
        <v>512</v>
      </c>
    </row>
    <row r="73" spans="1:7">
      <c r="A73" t="s">
        <v>204</v>
      </c>
      <c r="B73" s="218"/>
      <c r="C73" s="216"/>
      <c r="D73" s="218">
        <v>113.851592</v>
      </c>
      <c r="E73" s="216">
        <v>277.5</v>
      </c>
      <c r="F73" s="218">
        <v>113.851592</v>
      </c>
      <c r="G73" s="216">
        <v>277.5</v>
      </c>
    </row>
    <row r="74" spans="1:7">
      <c r="A74" t="s">
        <v>76</v>
      </c>
      <c r="B74" s="218">
        <v>5179.9072419999993</v>
      </c>
      <c r="C74" s="216">
        <v>21246.69</v>
      </c>
      <c r="D74" s="218">
        <v>304.81382399999995</v>
      </c>
      <c r="E74" s="216">
        <v>1051</v>
      </c>
      <c r="F74" s="218">
        <v>5484.7210659999992</v>
      </c>
      <c r="G74" s="216">
        <v>22297.69</v>
      </c>
    </row>
    <row r="75" spans="1:7">
      <c r="A75" t="s">
        <v>43</v>
      </c>
      <c r="B75" s="218">
        <v>7165.3928240000005</v>
      </c>
      <c r="C75" s="216">
        <v>26931.41</v>
      </c>
      <c r="D75" s="218">
        <v>37400.021176000002</v>
      </c>
      <c r="E75" s="216">
        <v>75276.7</v>
      </c>
      <c r="F75" s="218">
        <v>44565.414000000004</v>
      </c>
      <c r="G75" s="216">
        <v>102208.11</v>
      </c>
    </row>
    <row r="76" spans="1:7">
      <c r="A76" t="s">
        <v>105</v>
      </c>
      <c r="B76" s="218">
        <v>0.38101727999999996</v>
      </c>
      <c r="C76" s="216">
        <v>44.25</v>
      </c>
      <c r="D76" s="218"/>
      <c r="E76" s="216"/>
      <c r="F76" s="218">
        <v>0.38101727999999996</v>
      </c>
      <c r="G76" s="216">
        <v>44.25</v>
      </c>
    </row>
    <row r="77" spans="1:7">
      <c r="A77" t="s">
        <v>201</v>
      </c>
      <c r="B77" s="218"/>
      <c r="C77" s="216"/>
      <c r="D77" s="218">
        <v>47.627159999999996</v>
      </c>
      <c r="E77" s="216">
        <v>73.5</v>
      </c>
      <c r="F77" s="218">
        <v>47.627159999999996</v>
      </c>
      <c r="G77" s="216">
        <v>73.5</v>
      </c>
    </row>
    <row r="78" spans="1:7">
      <c r="A78" t="s">
        <v>73</v>
      </c>
      <c r="B78" s="218">
        <v>117.93392</v>
      </c>
      <c r="C78" s="216">
        <v>888</v>
      </c>
      <c r="D78" s="218">
        <v>95.254320000000007</v>
      </c>
      <c r="E78" s="216">
        <v>136</v>
      </c>
      <c r="F78" s="218">
        <v>213.18824000000001</v>
      </c>
      <c r="G78" s="216">
        <v>1024</v>
      </c>
    </row>
    <row r="79" spans="1:7">
      <c r="A79" t="s">
        <v>102</v>
      </c>
      <c r="B79" s="218">
        <v>298.78105039999997</v>
      </c>
      <c r="C79" s="216">
        <v>1374.07</v>
      </c>
      <c r="D79" s="218">
        <v>17.690087999999999</v>
      </c>
      <c r="E79" s="216">
        <v>196.76</v>
      </c>
      <c r="F79" s="218">
        <v>316.47113839999997</v>
      </c>
      <c r="G79" s="216">
        <v>1570.83</v>
      </c>
    </row>
    <row r="80" spans="1:7">
      <c r="A80" t="s">
        <v>246</v>
      </c>
      <c r="B80" s="218">
        <v>108.86208000000001</v>
      </c>
      <c r="C80" s="216">
        <v>582.67000000000007</v>
      </c>
      <c r="D80" s="218"/>
      <c r="E80" s="216"/>
      <c r="F80" s="218">
        <v>108.86208000000001</v>
      </c>
      <c r="G80" s="216">
        <v>582.67000000000007</v>
      </c>
    </row>
    <row r="81" spans="1:7">
      <c r="A81" t="s">
        <v>191</v>
      </c>
      <c r="B81" s="218">
        <v>371.94543999999996</v>
      </c>
      <c r="C81" s="216">
        <v>1755.8600000000001</v>
      </c>
      <c r="D81" s="218"/>
      <c r="E81" s="216"/>
      <c r="F81" s="218">
        <v>371.94543999999996</v>
      </c>
      <c r="G81" s="216">
        <v>1755.8600000000001</v>
      </c>
    </row>
    <row r="82" spans="1:7">
      <c r="A82" t="s">
        <v>154</v>
      </c>
      <c r="B82" s="218">
        <v>2381.8115919999991</v>
      </c>
      <c r="C82" s="216">
        <v>7226.1099999999988</v>
      </c>
      <c r="D82" s="218">
        <v>13216.310103999998</v>
      </c>
      <c r="E82" s="216">
        <v>36145.200000000004</v>
      </c>
      <c r="F82" s="218">
        <v>15598.121695999998</v>
      </c>
      <c r="G82" s="216">
        <v>43371.310000000005</v>
      </c>
    </row>
    <row r="83" spans="1:7">
      <c r="A83" t="s">
        <v>169</v>
      </c>
      <c r="B83" s="218">
        <v>335.65807999999993</v>
      </c>
      <c r="C83" s="216">
        <v>2772.46</v>
      </c>
      <c r="D83" s="218">
        <v>0.90718399999999999</v>
      </c>
      <c r="E83" s="216">
        <v>73</v>
      </c>
      <c r="F83" s="218">
        <v>336.5652639999999</v>
      </c>
      <c r="G83" s="216">
        <v>2845.46</v>
      </c>
    </row>
    <row r="84" spans="1:7">
      <c r="A84" t="s">
        <v>61</v>
      </c>
      <c r="B84" s="218">
        <v>3085.1059879999998</v>
      </c>
      <c r="C84" s="216">
        <v>15699</v>
      </c>
      <c r="D84" s="218">
        <v>906.95720400000016</v>
      </c>
      <c r="E84" s="216">
        <v>18362.23</v>
      </c>
      <c r="F84" s="218">
        <v>3992.0631920000001</v>
      </c>
      <c r="G84" s="216">
        <v>34061.229999999996</v>
      </c>
    </row>
    <row r="85" spans="1:7">
      <c r="A85" t="s">
        <v>81</v>
      </c>
      <c r="B85" s="218">
        <v>7408.9717279999995</v>
      </c>
      <c r="C85" s="216">
        <v>30249.770000000004</v>
      </c>
      <c r="D85" s="218">
        <v>940.31435967999994</v>
      </c>
      <c r="E85" s="216">
        <v>6455.5400000000009</v>
      </c>
      <c r="F85" s="218">
        <v>8349.2860876799987</v>
      </c>
      <c r="G85" s="216">
        <v>36705.310000000005</v>
      </c>
    </row>
    <row r="86" spans="1:7">
      <c r="A86" t="s">
        <v>117</v>
      </c>
      <c r="B86" s="218"/>
      <c r="C86" s="216"/>
      <c r="D86" s="218">
        <v>15.703355040000002</v>
      </c>
      <c r="E86" s="216">
        <v>246</v>
      </c>
      <c r="F86" s="218">
        <v>15.703355040000002</v>
      </c>
      <c r="G86" s="216">
        <v>246</v>
      </c>
    </row>
    <row r="87" spans="1:7">
      <c r="A87" t="s">
        <v>119</v>
      </c>
      <c r="B87" s="218">
        <v>653.17247999999995</v>
      </c>
      <c r="C87" s="216">
        <v>3030</v>
      </c>
      <c r="D87" s="218">
        <v>9009.3032709600011</v>
      </c>
      <c r="E87" s="216">
        <v>33482.22</v>
      </c>
      <c r="F87" s="218">
        <v>9662.4757509600004</v>
      </c>
      <c r="G87" s="216">
        <v>36512.22</v>
      </c>
    </row>
    <row r="88" spans="1:7">
      <c r="A88" t="s">
        <v>267</v>
      </c>
      <c r="B88" s="218">
        <v>0.86182479999999995</v>
      </c>
      <c r="C88" s="216">
        <v>88.9</v>
      </c>
      <c r="D88" s="218"/>
      <c r="E88" s="216"/>
      <c r="F88" s="218">
        <v>0.86182479999999995</v>
      </c>
      <c r="G88" s="216">
        <v>88.9</v>
      </c>
    </row>
    <row r="89" spans="1:7">
      <c r="A89" t="s">
        <v>159</v>
      </c>
      <c r="B89" s="218">
        <v>5125.5896000000002</v>
      </c>
      <c r="C89" s="216">
        <v>22628.799999999999</v>
      </c>
      <c r="D89" s="218">
        <v>458.12792000000007</v>
      </c>
      <c r="E89" s="216">
        <v>5577.42</v>
      </c>
      <c r="F89" s="218">
        <v>5583.7175200000001</v>
      </c>
      <c r="G89" s="216">
        <v>28206.22</v>
      </c>
    </row>
    <row r="90" spans="1:7">
      <c r="A90" t="s">
        <v>217</v>
      </c>
      <c r="B90" s="218">
        <v>54.431039999999996</v>
      </c>
      <c r="C90" s="216">
        <v>163.42000000000002</v>
      </c>
      <c r="D90" s="218"/>
      <c r="E90" s="216"/>
      <c r="F90" s="218">
        <v>54.431039999999996</v>
      </c>
      <c r="G90" s="216">
        <v>163.42000000000002</v>
      </c>
    </row>
    <row r="91" spans="1:7">
      <c r="A91" t="s">
        <v>171</v>
      </c>
      <c r="B91" s="218">
        <v>25.401152</v>
      </c>
      <c r="C91" s="216">
        <v>86.5</v>
      </c>
      <c r="D91" s="218"/>
      <c r="E91" s="216"/>
      <c r="F91" s="218">
        <v>25.401152</v>
      </c>
      <c r="G91" s="216">
        <v>86.5</v>
      </c>
    </row>
    <row r="92" spans="1:7">
      <c r="A92" t="s">
        <v>173</v>
      </c>
      <c r="B92" s="218">
        <v>1598.0046159999999</v>
      </c>
      <c r="C92" s="216">
        <v>7813.92</v>
      </c>
      <c r="D92" s="218"/>
      <c r="E92" s="216"/>
      <c r="F92" s="218">
        <v>1598.0046159999999</v>
      </c>
      <c r="G92" s="216">
        <v>7813.92</v>
      </c>
    </row>
    <row r="93" spans="1:7">
      <c r="A93" t="s">
        <v>141</v>
      </c>
      <c r="B93" s="218">
        <v>33373.938584000003</v>
      </c>
      <c r="C93" s="216">
        <v>33168.21</v>
      </c>
      <c r="D93" s="218"/>
      <c r="E93" s="216"/>
      <c r="F93" s="218">
        <v>33373.938584000003</v>
      </c>
      <c r="G93" s="216">
        <v>33168.21</v>
      </c>
    </row>
    <row r="94" spans="1:7">
      <c r="A94" t="s">
        <v>227</v>
      </c>
      <c r="B94" s="218"/>
      <c r="C94" s="216"/>
      <c r="D94" s="218">
        <v>347.90506400000004</v>
      </c>
      <c r="E94" s="216">
        <v>1435.75</v>
      </c>
      <c r="F94" s="218">
        <v>347.90506400000004</v>
      </c>
      <c r="G94" s="216">
        <v>1435.75</v>
      </c>
    </row>
    <row r="95" spans="1:7">
      <c r="A95" t="s">
        <v>54</v>
      </c>
      <c r="B95" s="218">
        <v>1846.3462360000001</v>
      </c>
      <c r="C95" s="216">
        <v>3829.7400000000002</v>
      </c>
      <c r="D95" s="218">
        <v>6641.9476560000003</v>
      </c>
      <c r="E95" s="216">
        <v>11277.6</v>
      </c>
      <c r="F95" s="218">
        <v>8488.2938919999997</v>
      </c>
      <c r="G95" s="216">
        <v>15107.34</v>
      </c>
    </row>
    <row r="96" spans="1:7">
      <c r="A96" t="s">
        <v>29</v>
      </c>
      <c r="B96" s="218">
        <v>4.53592</v>
      </c>
      <c r="C96" s="216">
        <v>28</v>
      </c>
      <c r="D96" s="218"/>
      <c r="E96" s="216"/>
      <c r="F96" s="218">
        <v>4.53592</v>
      </c>
      <c r="G96" s="216">
        <v>28</v>
      </c>
    </row>
    <row r="97" spans="1:7">
      <c r="A97" t="s">
        <v>75</v>
      </c>
      <c r="B97" s="218">
        <v>71.440740000000005</v>
      </c>
      <c r="C97" s="216">
        <v>1275</v>
      </c>
      <c r="D97" s="218"/>
      <c r="E97" s="216"/>
      <c r="F97" s="218">
        <v>71.440740000000005</v>
      </c>
      <c r="G97" s="216">
        <v>1275</v>
      </c>
    </row>
    <row r="98" spans="1:7">
      <c r="A98" t="s">
        <v>42</v>
      </c>
      <c r="B98" s="218">
        <v>15.313265919999999</v>
      </c>
      <c r="C98" s="216">
        <v>739.94999999999993</v>
      </c>
      <c r="D98" s="218"/>
      <c r="E98" s="216"/>
      <c r="F98" s="218">
        <v>15.313265919999999</v>
      </c>
      <c r="G98" s="216">
        <v>739.94999999999993</v>
      </c>
    </row>
    <row r="99" spans="1:7">
      <c r="A99" t="s">
        <v>106</v>
      </c>
      <c r="B99" s="218">
        <v>0.38101727999999996</v>
      </c>
      <c r="C99" s="216">
        <v>44.25</v>
      </c>
      <c r="D99" s="218"/>
      <c r="E99" s="216"/>
      <c r="F99" s="218">
        <v>0.38101727999999996</v>
      </c>
      <c r="G99" s="216">
        <v>44.25</v>
      </c>
    </row>
    <row r="100" spans="1:7">
      <c r="A100" t="s">
        <v>132</v>
      </c>
      <c r="B100" s="218"/>
      <c r="C100" s="216"/>
      <c r="D100" s="218">
        <v>107.501304</v>
      </c>
      <c r="E100" s="216">
        <v>297.60000000000002</v>
      </c>
      <c r="F100" s="218">
        <v>107.501304</v>
      </c>
      <c r="G100" s="216">
        <v>297.60000000000002</v>
      </c>
    </row>
    <row r="101" spans="1:7">
      <c r="A101" t="s">
        <v>193</v>
      </c>
      <c r="B101" s="218">
        <v>13.607759999999999</v>
      </c>
      <c r="C101" s="216">
        <v>100</v>
      </c>
      <c r="D101" s="218"/>
      <c r="E101" s="216"/>
      <c r="F101" s="218">
        <v>13.607759999999999</v>
      </c>
      <c r="G101" s="216">
        <v>100</v>
      </c>
    </row>
    <row r="102" spans="1:7">
      <c r="A102" t="s">
        <v>296</v>
      </c>
      <c r="B102" s="218"/>
      <c r="C102" s="216"/>
      <c r="D102" s="218">
        <v>7.7110640000000004</v>
      </c>
      <c r="E102" s="216">
        <v>21.25</v>
      </c>
      <c r="F102" s="218">
        <v>7.7110640000000004</v>
      </c>
      <c r="G102" s="216">
        <v>21.25</v>
      </c>
    </row>
    <row r="103" spans="1:7">
      <c r="A103" t="s">
        <v>50</v>
      </c>
      <c r="B103" s="218">
        <v>830.30015600000013</v>
      </c>
      <c r="C103" s="216">
        <v>5403.65</v>
      </c>
      <c r="D103" s="218">
        <v>242.78058207999999</v>
      </c>
      <c r="E103" s="216">
        <v>2365.48</v>
      </c>
      <c r="F103" s="218">
        <v>1073.0807380800002</v>
      </c>
      <c r="G103" s="216">
        <v>7769.1299999999992</v>
      </c>
    </row>
    <row r="104" spans="1:7">
      <c r="A104" t="s">
        <v>63</v>
      </c>
      <c r="B104" s="218">
        <v>2809.5488479999999</v>
      </c>
      <c r="C104" s="216">
        <v>5320.14</v>
      </c>
      <c r="D104" s="218">
        <v>581.17382183999996</v>
      </c>
      <c r="E104" s="216">
        <v>2915.32</v>
      </c>
      <c r="F104" s="218">
        <v>3390.72266984</v>
      </c>
      <c r="G104" s="216">
        <v>8235.4600000000009</v>
      </c>
    </row>
    <row r="105" spans="1:7">
      <c r="A105" t="s">
        <v>65</v>
      </c>
      <c r="B105" s="218">
        <v>373.75980800000002</v>
      </c>
      <c r="C105" s="216">
        <v>3362.5</v>
      </c>
      <c r="D105" s="218">
        <v>4633.8958720000001</v>
      </c>
      <c r="E105" s="216">
        <v>63080</v>
      </c>
      <c r="F105" s="218">
        <v>5007.6556799999998</v>
      </c>
      <c r="G105" s="216">
        <v>66442.5</v>
      </c>
    </row>
    <row r="106" spans="1:7">
      <c r="A106" t="s">
        <v>83</v>
      </c>
      <c r="B106" s="218">
        <v>700.34604799999977</v>
      </c>
      <c r="C106" s="216">
        <v>2391.29</v>
      </c>
      <c r="D106" s="218">
        <v>19.958047999999998</v>
      </c>
      <c r="E106" s="216">
        <v>408.03</v>
      </c>
      <c r="F106" s="218">
        <v>720.30409599999973</v>
      </c>
      <c r="G106" s="216">
        <v>2799.3199999999997</v>
      </c>
    </row>
    <row r="107" spans="1:7">
      <c r="A107" t="s">
        <v>128</v>
      </c>
      <c r="B107" s="218">
        <v>2803.6521520000006</v>
      </c>
      <c r="C107" s="216">
        <v>10449.660000000002</v>
      </c>
      <c r="D107" s="218">
        <v>4254.6929600000003</v>
      </c>
      <c r="E107" s="216">
        <v>18479.04</v>
      </c>
      <c r="F107" s="218">
        <v>7058.3451120000009</v>
      </c>
      <c r="G107" s="216">
        <v>28928.700000000004</v>
      </c>
    </row>
    <row r="108" spans="1:7">
      <c r="A108" t="s">
        <v>175</v>
      </c>
      <c r="B108" s="218">
        <v>7.2574719999999999</v>
      </c>
      <c r="C108" s="216">
        <v>69.25</v>
      </c>
      <c r="D108" s="218"/>
      <c r="E108" s="216"/>
      <c r="F108" s="218">
        <v>7.2574719999999999</v>
      </c>
      <c r="G108" s="216">
        <v>69.25</v>
      </c>
    </row>
    <row r="109" spans="1:7">
      <c r="A109" t="s">
        <v>176</v>
      </c>
      <c r="B109" s="218">
        <v>74.389087999999987</v>
      </c>
      <c r="C109" s="216">
        <v>296.5</v>
      </c>
      <c r="D109" s="218">
        <v>120.655472</v>
      </c>
      <c r="E109" s="216">
        <v>335.07</v>
      </c>
      <c r="F109" s="218">
        <v>195.04455999999999</v>
      </c>
      <c r="G109" s="216">
        <v>631.56999999999994</v>
      </c>
    </row>
    <row r="110" spans="1:7">
      <c r="A110" t="s">
        <v>184</v>
      </c>
      <c r="B110" s="218">
        <v>337.47244799999999</v>
      </c>
      <c r="C110" s="216">
        <v>2231.84</v>
      </c>
      <c r="D110" s="218">
        <v>39.916096000000003</v>
      </c>
      <c r="E110" s="216">
        <v>544</v>
      </c>
      <c r="F110" s="218">
        <v>377.38854399999997</v>
      </c>
      <c r="G110" s="216">
        <v>2775.84</v>
      </c>
    </row>
    <row r="111" spans="1:7">
      <c r="A111" t="s">
        <v>53</v>
      </c>
      <c r="B111" s="218">
        <v>0.453592</v>
      </c>
      <c r="C111" s="216">
        <v>11.2</v>
      </c>
      <c r="D111" s="218"/>
      <c r="E111" s="216"/>
      <c r="F111" s="218">
        <v>0.453592</v>
      </c>
      <c r="G111" s="216">
        <v>11.2</v>
      </c>
    </row>
    <row r="112" spans="1:7">
      <c r="A112" t="s">
        <v>35</v>
      </c>
      <c r="B112" s="218">
        <v>1.360776</v>
      </c>
      <c r="C112" s="216">
        <v>33.599999999999994</v>
      </c>
      <c r="D112" s="218"/>
      <c r="E112" s="216"/>
      <c r="F112" s="218">
        <v>1.360776</v>
      </c>
      <c r="G112" s="216">
        <v>33.599999999999994</v>
      </c>
    </row>
    <row r="113" spans="1:7">
      <c r="A113" t="s">
        <v>31</v>
      </c>
      <c r="B113" s="218">
        <v>3.9190348799999999</v>
      </c>
      <c r="C113" s="216">
        <v>226.75</v>
      </c>
      <c r="D113" s="218"/>
      <c r="E113" s="216"/>
      <c r="F113" s="218">
        <v>3.9190348799999999</v>
      </c>
      <c r="G113" s="216">
        <v>226.75</v>
      </c>
    </row>
    <row r="114" spans="1:7">
      <c r="A114" t="s">
        <v>103</v>
      </c>
      <c r="B114" s="218">
        <v>2.721552</v>
      </c>
      <c r="C114" s="216">
        <v>153</v>
      </c>
      <c r="D114" s="218"/>
      <c r="E114" s="216"/>
      <c r="F114" s="218">
        <v>2.721552</v>
      </c>
      <c r="G114" s="216">
        <v>153</v>
      </c>
    </row>
    <row r="115" spans="1:7">
      <c r="A115" t="s">
        <v>280</v>
      </c>
      <c r="B115" s="218">
        <v>2.26796</v>
      </c>
      <c r="C115" s="216">
        <v>35</v>
      </c>
      <c r="D115" s="218"/>
      <c r="E115" s="216"/>
      <c r="F115" s="218">
        <v>2.26796</v>
      </c>
      <c r="G115" s="216">
        <v>35</v>
      </c>
    </row>
    <row r="116" spans="1:7">
      <c r="A116" t="s">
        <v>146</v>
      </c>
      <c r="B116" s="218">
        <v>40.823279999999997</v>
      </c>
      <c r="C116" s="216">
        <v>162.87</v>
      </c>
      <c r="D116" s="218">
        <v>70.760352000000012</v>
      </c>
      <c r="E116" s="216">
        <v>472.53999999999996</v>
      </c>
      <c r="F116" s="218">
        <v>111.58363200000001</v>
      </c>
      <c r="G116" s="216">
        <v>635.41</v>
      </c>
    </row>
    <row r="117" spans="1:7">
      <c r="A117" t="s">
        <v>38</v>
      </c>
      <c r="B117" s="218">
        <v>14247.170498719999</v>
      </c>
      <c r="C117" s="216">
        <v>52861.790000000008</v>
      </c>
      <c r="D117" s="218">
        <v>4912.4013599999998</v>
      </c>
      <c r="E117" s="216">
        <v>35059.230000000003</v>
      </c>
      <c r="F117" s="218">
        <v>19159.571858719999</v>
      </c>
      <c r="G117" s="216">
        <v>87921.020000000019</v>
      </c>
    </row>
    <row r="118" spans="1:7">
      <c r="A118" t="s">
        <v>52</v>
      </c>
      <c r="B118" s="218">
        <v>57.606183999999999</v>
      </c>
      <c r="C118" s="216">
        <v>154.31</v>
      </c>
      <c r="D118" s="218">
        <v>11.793392000000001</v>
      </c>
      <c r="E118" s="216">
        <v>67</v>
      </c>
      <c r="F118" s="218">
        <v>69.399575999999996</v>
      </c>
      <c r="G118" s="216">
        <v>221.31</v>
      </c>
    </row>
    <row r="119" spans="1:7">
      <c r="A119" t="s">
        <v>118</v>
      </c>
      <c r="B119" s="218">
        <v>3.628736</v>
      </c>
      <c r="C119" s="216">
        <v>120</v>
      </c>
      <c r="D119" s="218">
        <v>0.99790240000000008</v>
      </c>
      <c r="E119" s="216">
        <v>17.5</v>
      </c>
      <c r="F119" s="218">
        <v>4.6266384</v>
      </c>
      <c r="G119" s="216">
        <v>137.5</v>
      </c>
    </row>
    <row r="120" spans="1:7">
      <c r="A120" t="s">
        <v>161</v>
      </c>
      <c r="B120" s="218">
        <v>18932.839361600003</v>
      </c>
      <c r="C120" s="216">
        <v>25365.11</v>
      </c>
      <c r="D120" s="218">
        <v>87.089663999999999</v>
      </c>
      <c r="E120" s="216">
        <v>5760</v>
      </c>
      <c r="F120" s="218">
        <v>19019.929025600002</v>
      </c>
      <c r="G120" s="216">
        <v>31125.11</v>
      </c>
    </row>
    <row r="121" spans="1:7">
      <c r="A121" t="s">
        <v>135</v>
      </c>
      <c r="B121" s="218">
        <v>2366.3894639999999</v>
      </c>
      <c r="C121" s="216">
        <v>8074.6399999999994</v>
      </c>
      <c r="D121" s="218">
        <v>9.979023999999999</v>
      </c>
      <c r="E121" s="216">
        <v>84.5</v>
      </c>
      <c r="F121" s="218">
        <v>2376.3684880000001</v>
      </c>
      <c r="G121" s="216">
        <v>8159.1399999999994</v>
      </c>
    </row>
    <row r="122" spans="1:7">
      <c r="A122" t="s">
        <v>196</v>
      </c>
      <c r="B122" s="218">
        <v>18.14368</v>
      </c>
      <c r="C122" s="216">
        <v>23</v>
      </c>
      <c r="D122" s="218"/>
      <c r="E122" s="216"/>
      <c r="F122" s="218">
        <v>18.14368</v>
      </c>
      <c r="G122" s="216">
        <v>23</v>
      </c>
    </row>
    <row r="123" spans="1:7">
      <c r="A123" t="s">
        <v>532</v>
      </c>
      <c r="B123" s="218">
        <v>382068.40688527987</v>
      </c>
      <c r="C123" s="216">
        <v>1117483.8999999999</v>
      </c>
      <c r="D123" s="218">
        <v>138710.54280280002</v>
      </c>
      <c r="E123" s="216">
        <v>554303.22999999986</v>
      </c>
      <c r="F123" s="218">
        <v>520778.94968807994</v>
      </c>
      <c r="G123" s="216">
        <v>1671787.1300000004</v>
      </c>
    </row>
    <row r="124" spans="1:7">
      <c r="B124"/>
      <c r="C124"/>
    </row>
    <row r="125" spans="1:7">
      <c r="B125"/>
      <c r="C125"/>
    </row>
    <row r="126" spans="1:7">
      <c r="B126"/>
      <c r="C126"/>
    </row>
    <row r="127" spans="1:7">
      <c r="B127"/>
      <c r="C127"/>
    </row>
    <row r="128" spans="1:7">
      <c r="B128"/>
      <c r="C128"/>
    </row>
    <row r="129" spans="2:3">
      <c r="B129"/>
      <c r="C129"/>
    </row>
    <row r="130" spans="2:3">
      <c r="B130"/>
      <c r="C130"/>
    </row>
    <row r="131" spans="2:3">
      <c r="B131"/>
      <c r="C131"/>
    </row>
    <row r="132" spans="2:3">
      <c r="B132"/>
      <c r="C132"/>
    </row>
    <row r="133" spans="2:3">
      <c r="B133"/>
      <c r="C133"/>
    </row>
    <row r="134" spans="2:3">
      <c r="B134"/>
      <c r="C134"/>
    </row>
    <row r="135" spans="2:3">
      <c r="B135"/>
      <c r="C135"/>
    </row>
    <row r="136" spans="2:3">
      <c r="B136"/>
      <c r="C136"/>
    </row>
    <row r="137" spans="2:3">
      <c r="B137"/>
      <c r="C137"/>
    </row>
    <row r="138" spans="2:3">
      <c r="B138"/>
      <c r="C138"/>
    </row>
    <row r="139" spans="2:3">
      <c r="B139"/>
      <c r="C139"/>
    </row>
    <row r="140" spans="2:3">
      <c r="B140"/>
      <c r="C140"/>
    </row>
    <row r="141" spans="2:3">
      <c r="B141"/>
      <c r="C141"/>
    </row>
    <row r="142" spans="2:3">
      <c r="B142"/>
      <c r="C142"/>
    </row>
    <row r="143" spans="2:3">
      <c r="B143"/>
      <c r="C143"/>
    </row>
    <row r="144" spans="2:3">
      <c r="B144"/>
      <c r="C144"/>
    </row>
    <row r="145" spans="2:3">
      <c r="B145"/>
      <c r="C145"/>
    </row>
    <row r="146" spans="2:3">
      <c r="B146"/>
      <c r="C146"/>
    </row>
    <row r="147" spans="2:3">
      <c r="B147"/>
      <c r="C147"/>
    </row>
    <row r="148" spans="2:3">
      <c r="B148"/>
      <c r="C148"/>
    </row>
    <row r="149" spans="2:3">
      <c r="B149"/>
      <c r="C149"/>
    </row>
    <row r="150" spans="2:3">
      <c r="B150"/>
      <c r="C150"/>
    </row>
    <row r="151" spans="2:3">
      <c r="B151"/>
      <c r="C151"/>
    </row>
    <row r="152" spans="2:3">
      <c r="B152"/>
      <c r="C152"/>
    </row>
    <row r="153" spans="2:3">
      <c r="B153"/>
      <c r="C153"/>
    </row>
    <row r="154" spans="2:3">
      <c r="B154"/>
      <c r="C154"/>
    </row>
    <row r="155" spans="2:3">
      <c r="B155"/>
      <c r="C155"/>
    </row>
    <row r="156" spans="2:3">
      <c r="B156"/>
      <c r="C156"/>
    </row>
    <row r="157" spans="2:3">
      <c r="B157"/>
      <c r="C157"/>
    </row>
    <row r="158" spans="2:3">
      <c r="B158"/>
      <c r="C158"/>
    </row>
    <row r="159" spans="2:3">
      <c r="B159"/>
      <c r="C159"/>
    </row>
    <row r="160" spans="2:3">
      <c r="B160"/>
      <c r="C160"/>
    </row>
    <row r="161" spans="2:3">
      <c r="B161"/>
      <c r="C161"/>
    </row>
    <row r="162" spans="2:3">
      <c r="B162"/>
      <c r="C162"/>
    </row>
    <row r="163" spans="2:3">
      <c r="B163"/>
      <c r="C163"/>
    </row>
    <row r="164" spans="2:3">
      <c r="B164"/>
      <c r="C164"/>
    </row>
    <row r="165" spans="2:3">
      <c r="B165"/>
      <c r="C165"/>
    </row>
    <row r="166" spans="2:3">
      <c r="B166"/>
      <c r="C166"/>
    </row>
    <row r="167" spans="2:3">
      <c r="B167"/>
      <c r="C167"/>
    </row>
    <row r="168" spans="2:3">
      <c r="B168"/>
      <c r="C168"/>
    </row>
    <row r="169" spans="2:3">
      <c r="B169"/>
      <c r="C169"/>
    </row>
    <row r="170" spans="2:3">
      <c r="B170"/>
      <c r="C170"/>
    </row>
    <row r="171" spans="2:3">
      <c r="B171"/>
      <c r="C171"/>
    </row>
    <row r="172" spans="2:3">
      <c r="B172"/>
      <c r="C172"/>
    </row>
    <row r="173" spans="2:3">
      <c r="B173"/>
      <c r="C173"/>
    </row>
    <row r="174" spans="2:3">
      <c r="B174"/>
      <c r="C174"/>
    </row>
    <row r="175" spans="2:3">
      <c r="B175"/>
      <c r="C175"/>
    </row>
    <row r="176" spans="2:3">
      <c r="B176"/>
      <c r="C176"/>
    </row>
    <row r="177" spans="2:3">
      <c r="B177"/>
      <c r="C177"/>
    </row>
    <row r="178" spans="2:3">
      <c r="B178"/>
      <c r="C178"/>
    </row>
    <row r="179" spans="2:3">
      <c r="B179"/>
      <c r="C179"/>
    </row>
    <row r="180" spans="2:3">
      <c r="B180"/>
      <c r="C180"/>
    </row>
    <row r="181" spans="2:3">
      <c r="B181"/>
      <c r="C181"/>
    </row>
    <row r="182" spans="2:3">
      <c r="B182"/>
      <c r="C182"/>
    </row>
    <row r="183" spans="2:3">
      <c r="B183"/>
      <c r="C183"/>
    </row>
    <row r="184" spans="2:3">
      <c r="B184"/>
      <c r="C184"/>
    </row>
    <row r="185" spans="2:3">
      <c r="B185"/>
      <c r="C185"/>
    </row>
    <row r="186" spans="2:3">
      <c r="B186"/>
      <c r="C186"/>
    </row>
    <row r="187" spans="2:3">
      <c r="B187"/>
      <c r="C187"/>
    </row>
    <row r="188" spans="2:3">
      <c r="B188"/>
      <c r="C188"/>
    </row>
    <row r="189" spans="2:3">
      <c r="B189"/>
      <c r="C189"/>
    </row>
    <row r="190" spans="2:3">
      <c r="B190"/>
      <c r="C190"/>
    </row>
    <row r="191" spans="2:3">
      <c r="B191"/>
      <c r="C191"/>
    </row>
    <row r="192" spans="2:3">
      <c r="B192"/>
      <c r="C192"/>
    </row>
    <row r="193" spans="2:3">
      <c r="B193"/>
      <c r="C193"/>
    </row>
    <row r="194" spans="2:3">
      <c r="B194"/>
      <c r="C194"/>
    </row>
    <row r="195" spans="2:3">
      <c r="B195"/>
      <c r="C195"/>
    </row>
    <row r="196" spans="2:3">
      <c r="B196"/>
      <c r="C196"/>
    </row>
    <row r="197" spans="2:3">
      <c r="B197"/>
      <c r="C197"/>
    </row>
    <row r="198" spans="2:3">
      <c r="B198"/>
      <c r="C198"/>
    </row>
    <row r="199" spans="2:3">
      <c r="B199"/>
      <c r="C199"/>
    </row>
    <row r="200" spans="2:3">
      <c r="B200"/>
      <c r="C200"/>
    </row>
    <row r="201" spans="2:3">
      <c r="B201"/>
      <c r="C201"/>
    </row>
    <row r="202" spans="2:3">
      <c r="B202"/>
      <c r="C202"/>
    </row>
    <row r="203" spans="2:3">
      <c r="B203"/>
      <c r="C203"/>
    </row>
    <row r="204" spans="2:3">
      <c r="B204"/>
      <c r="C204"/>
    </row>
    <row r="205" spans="2:3">
      <c r="B205"/>
      <c r="C205"/>
    </row>
    <row r="206" spans="2:3">
      <c r="B206"/>
      <c r="C206"/>
    </row>
    <row r="207" spans="2:3">
      <c r="B207"/>
      <c r="C207"/>
    </row>
    <row r="208" spans="2:3">
      <c r="B208"/>
      <c r="C208"/>
    </row>
    <row r="209" spans="2:3">
      <c r="B209"/>
      <c r="C209"/>
    </row>
    <row r="210" spans="2:3">
      <c r="B210"/>
      <c r="C210"/>
    </row>
    <row r="211" spans="2:3">
      <c r="B211"/>
      <c r="C211"/>
    </row>
    <row r="212" spans="2:3">
      <c r="B212"/>
      <c r="C212"/>
    </row>
    <row r="213" spans="2:3">
      <c r="B213"/>
      <c r="C213"/>
    </row>
    <row r="214" spans="2:3">
      <c r="B214"/>
      <c r="C214"/>
    </row>
    <row r="215" spans="2:3">
      <c r="B215"/>
      <c r="C215"/>
    </row>
    <row r="216" spans="2:3">
      <c r="B216"/>
      <c r="C216"/>
    </row>
    <row r="217" spans="2:3">
      <c r="B217"/>
      <c r="C217"/>
    </row>
    <row r="218" spans="2:3">
      <c r="B218"/>
      <c r="C218"/>
    </row>
    <row r="219" spans="2:3">
      <c r="B219"/>
      <c r="C219"/>
    </row>
    <row r="220" spans="2:3">
      <c r="B220"/>
      <c r="C220"/>
    </row>
    <row r="221" spans="2:3">
      <c r="B221"/>
      <c r="C221"/>
    </row>
    <row r="222" spans="2:3">
      <c r="B222"/>
      <c r="C222"/>
    </row>
    <row r="223" spans="2:3">
      <c r="B223"/>
      <c r="C223"/>
    </row>
    <row r="224" spans="2:3">
      <c r="B224"/>
      <c r="C224"/>
    </row>
    <row r="225" spans="2:3">
      <c r="B225"/>
      <c r="C225"/>
    </row>
    <row r="226" spans="2:3">
      <c r="B226"/>
      <c r="C226"/>
    </row>
    <row r="227" spans="2:3">
      <c r="B227"/>
      <c r="C227"/>
    </row>
    <row r="228" spans="2:3">
      <c r="B228"/>
      <c r="C228"/>
    </row>
    <row r="229" spans="2:3">
      <c r="B229"/>
      <c r="C229"/>
    </row>
    <row r="230" spans="2:3">
      <c r="B230"/>
      <c r="C230"/>
    </row>
    <row r="231" spans="2:3">
      <c r="B231"/>
      <c r="C231"/>
    </row>
    <row r="232" spans="2:3">
      <c r="B232"/>
      <c r="C232"/>
    </row>
    <row r="233" spans="2:3">
      <c r="B233"/>
      <c r="C233"/>
    </row>
    <row r="234" spans="2:3">
      <c r="B234"/>
      <c r="C234"/>
    </row>
    <row r="235" spans="2:3">
      <c r="B235"/>
      <c r="C235"/>
    </row>
    <row r="236" spans="2:3">
      <c r="B236"/>
      <c r="C236"/>
    </row>
    <row r="237" spans="2:3">
      <c r="B237"/>
      <c r="C237"/>
    </row>
    <row r="238" spans="2:3">
      <c r="B238"/>
      <c r="C238"/>
    </row>
    <row r="239" spans="2:3">
      <c r="B239"/>
      <c r="C239"/>
    </row>
    <row r="240" spans="2:3">
      <c r="B240"/>
      <c r="C240"/>
    </row>
    <row r="241" spans="2:3">
      <c r="B241"/>
      <c r="C241"/>
    </row>
    <row r="242" spans="2:3">
      <c r="B242"/>
      <c r="C242"/>
    </row>
    <row r="243" spans="2:3">
      <c r="B243"/>
      <c r="C243"/>
    </row>
    <row r="244" spans="2:3">
      <c r="B244"/>
      <c r="C244"/>
    </row>
    <row r="245" spans="2:3">
      <c r="B245"/>
      <c r="C245"/>
    </row>
    <row r="246" spans="2:3">
      <c r="B246"/>
      <c r="C246"/>
    </row>
    <row r="247" spans="2:3">
      <c r="B247"/>
      <c r="C247"/>
    </row>
    <row r="248" spans="2:3">
      <c r="B248"/>
      <c r="C248"/>
    </row>
    <row r="249" spans="2:3">
      <c r="B249"/>
      <c r="C249"/>
    </row>
    <row r="250" spans="2:3">
      <c r="B250"/>
      <c r="C250"/>
    </row>
    <row r="251" spans="2:3">
      <c r="B251"/>
      <c r="C251"/>
    </row>
    <row r="252" spans="2:3">
      <c r="B252"/>
      <c r="C252"/>
    </row>
    <row r="253" spans="2:3">
      <c r="B253"/>
      <c r="C253"/>
    </row>
    <row r="254" spans="2:3">
      <c r="B254"/>
      <c r="C254"/>
    </row>
    <row r="255" spans="2:3">
      <c r="B255"/>
      <c r="C255"/>
    </row>
    <row r="256" spans="2:3">
      <c r="B256"/>
      <c r="C256"/>
    </row>
    <row r="257" spans="2:3">
      <c r="B257"/>
      <c r="C257"/>
    </row>
    <row r="258" spans="2:3">
      <c r="B258"/>
      <c r="C258"/>
    </row>
    <row r="259" spans="2:3">
      <c r="B259"/>
      <c r="C259"/>
    </row>
    <row r="260" spans="2:3">
      <c r="B260"/>
      <c r="C260"/>
    </row>
    <row r="261" spans="2:3">
      <c r="B261"/>
      <c r="C261"/>
    </row>
    <row r="262" spans="2:3">
      <c r="B262"/>
      <c r="C262"/>
    </row>
    <row r="263" spans="2:3">
      <c r="B263"/>
      <c r="C263"/>
    </row>
    <row r="264" spans="2:3">
      <c r="B264"/>
      <c r="C264"/>
    </row>
    <row r="265" spans="2:3">
      <c r="B265"/>
      <c r="C265"/>
    </row>
    <row r="266" spans="2:3">
      <c r="B266"/>
      <c r="C266"/>
    </row>
    <row r="267" spans="2:3">
      <c r="B267"/>
      <c r="C267"/>
    </row>
    <row r="268" spans="2:3">
      <c r="B268"/>
      <c r="C268"/>
    </row>
    <row r="269" spans="2:3">
      <c r="B269"/>
      <c r="C269"/>
    </row>
    <row r="270" spans="2:3">
      <c r="B270"/>
      <c r="C270"/>
    </row>
    <row r="271" spans="2:3">
      <c r="B271"/>
      <c r="C271"/>
    </row>
    <row r="272" spans="2:3">
      <c r="B272"/>
      <c r="C272"/>
    </row>
    <row r="273" spans="2:3">
      <c r="B273"/>
      <c r="C273"/>
    </row>
    <row r="274" spans="2:3">
      <c r="B274"/>
      <c r="C274"/>
    </row>
    <row r="275" spans="2:3">
      <c r="B275"/>
      <c r="C275"/>
    </row>
    <row r="276" spans="2:3">
      <c r="B276"/>
      <c r="C276"/>
    </row>
    <row r="277" spans="2:3">
      <c r="B277"/>
      <c r="C277"/>
    </row>
    <row r="278" spans="2:3">
      <c r="B278"/>
      <c r="C278"/>
    </row>
    <row r="279" spans="2:3">
      <c r="B279"/>
      <c r="C279"/>
    </row>
    <row r="280" spans="2:3">
      <c r="B280"/>
      <c r="C280"/>
    </row>
    <row r="281" spans="2:3">
      <c r="B281"/>
      <c r="C281"/>
    </row>
    <row r="282" spans="2:3">
      <c r="B282"/>
      <c r="C282"/>
    </row>
    <row r="283" spans="2:3">
      <c r="B283"/>
      <c r="C283"/>
    </row>
    <row r="284" spans="2:3">
      <c r="B284"/>
      <c r="C284"/>
    </row>
    <row r="285" spans="2:3">
      <c r="B285"/>
      <c r="C285"/>
    </row>
    <row r="286" spans="2:3">
      <c r="B286"/>
      <c r="C286"/>
    </row>
    <row r="287" spans="2:3">
      <c r="B287"/>
      <c r="C287"/>
    </row>
    <row r="288" spans="2:3">
      <c r="B288"/>
      <c r="C288"/>
    </row>
    <row r="289" spans="2:3">
      <c r="B289"/>
      <c r="C289"/>
    </row>
    <row r="290" spans="2:3">
      <c r="B290"/>
      <c r="C290"/>
    </row>
    <row r="291" spans="2:3">
      <c r="B291"/>
      <c r="C291"/>
    </row>
    <row r="292" spans="2:3">
      <c r="B292"/>
      <c r="C292"/>
    </row>
    <row r="293" spans="2:3">
      <c r="B293"/>
      <c r="C293"/>
    </row>
    <row r="294" spans="2:3">
      <c r="B294"/>
      <c r="C294"/>
    </row>
    <row r="295" spans="2:3">
      <c r="B295"/>
      <c r="C295"/>
    </row>
    <row r="296" spans="2:3">
      <c r="B296"/>
      <c r="C296"/>
    </row>
    <row r="297" spans="2:3">
      <c r="B297"/>
      <c r="C297"/>
    </row>
    <row r="298" spans="2:3">
      <c r="B298"/>
      <c r="C298"/>
    </row>
    <row r="299" spans="2:3">
      <c r="B299"/>
      <c r="C299"/>
    </row>
    <row r="300" spans="2:3">
      <c r="B300"/>
      <c r="C300"/>
    </row>
    <row r="301" spans="2:3">
      <c r="B301"/>
      <c r="C301"/>
    </row>
    <row r="302" spans="2:3">
      <c r="B302"/>
      <c r="C302"/>
    </row>
    <row r="303" spans="2:3">
      <c r="B303"/>
      <c r="C303"/>
    </row>
    <row r="304" spans="2:3">
      <c r="B304"/>
      <c r="C304"/>
    </row>
    <row r="305" spans="2:3">
      <c r="B305"/>
      <c r="C305"/>
    </row>
    <row r="306" spans="2:3">
      <c r="B306"/>
      <c r="C306"/>
    </row>
    <row r="307" spans="2:3">
      <c r="B307"/>
      <c r="C307"/>
    </row>
    <row r="308" spans="2:3">
      <c r="B308"/>
      <c r="C308"/>
    </row>
    <row r="309" spans="2:3">
      <c r="B309"/>
      <c r="C309"/>
    </row>
    <row r="310" spans="2:3">
      <c r="B310"/>
      <c r="C310"/>
    </row>
    <row r="311" spans="2:3">
      <c r="B311"/>
      <c r="C311"/>
    </row>
    <row r="312" spans="2:3">
      <c r="B312"/>
      <c r="C312"/>
    </row>
    <row r="313" spans="2:3">
      <c r="B313"/>
      <c r="C313"/>
    </row>
    <row r="314" spans="2:3">
      <c r="B314"/>
      <c r="C314"/>
    </row>
    <row r="315" spans="2:3">
      <c r="B315"/>
      <c r="C315"/>
    </row>
    <row r="316" spans="2:3">
      <c r="B316"/>
      <c r="C316"/>
    </row>
    <row r="317" spans="2:3">
      <c r="B317"/>
      <c r="C317"/>
    </row>
    <row r="318" spans="2:3">
      <c r="B318"/>
      <c r="C318"/>
    </row>
    <row r="319" spans="2:3">
      <c r="B319"/>
      <c r="C319"/>
    </row>
    <row r="320" spans="2:3">
      <c r="B320"/>
      <c r="C320"/>
    </row>
    <row r="321" spans="2:3">
      <c r="B321"/>
      <c r="C321"/>
    </row>
    <row r="322" spans="2:3">
      <c r="B322"/>
      <c r="C322"/>
    </row>
    <row r="323" spans="2:3">
      <c r="B323"/>
      <c r="C323"/>
    </row>
    <row r="324" spans="2:3">
      <c r="B324"/>
      <c r="C324"/>
    </row>
    <row r="325" spans="2:3">
      <c r="B325"/>
      <c r="C325"/>
    </row>
    <row r="326" spans="2:3">
      <c r="B326"/>
      <c r="C326"/>
    </row>
    <row r="327" spans="2:3">
      <c r="B327"/>
      <c r="C327"/>
    </row>
    <row r="328" spans="2:3">
      <c r="B328"/>
      <c r="C328"/>
    </row>
    <row r="329" spans="2:3">
      <c r="B329"/>
      <c r="C329"/>
    </row>
    <row r="330" spans="2:3">
      <c r="B330"/>
      <c r="C330"/>
    </row>
    <row r="331" spans="2:3">
      <c r="B331"/>
      <c r="C331"/>
    </row>
    <row r="332" spans="2:3">
      <c r="B332"/>
      <c r="C332"/>
    </row>
    <row r="333" spans="2:3">
      <c r="B333"/>
      <c r="C333"/>
    </row>
    <row r="334" spans="2:3">
      <c r="B334"/>
      <c r="C334"/>
    </row>
    <row r="335" spans="2:3">
      <c r="B335"/>
      <c r="C335"/>
    </row>
    <row r="336" spans="2:3">
      <c r="B336"/>
      <c r="C336"/>
    </row>
    <row r="337" spans="2:3">
      <c r="B337"/>
      <c r="C337"/>
    </row>
    <row r="338" spans="2:3">
      <c r="B338"/>
      <c r="C338"/>
    </row>
    <row r="339" spans="2:3">
      <c r="B339"/>
      <c r="C339"/>
    </row>
    <row r="340" spans="2:3">
      <c r="B340"/>
      <c r="C340"/>
    </row>
    <row r="341" spans="2:3">
      <c r="B341"/>
      <c r="C341"/>
    </row>
    <row r="342" spans="2:3">
      <c r="B342"/>
      <c r="C342"/>
    </row>
    <row r="343" spans="2:3">
      <c r="B343"/>
      <c r="C343"/>
    </row>
    <row r="344" spans="2:3">
      <c r="B344"/>
      <c r="C344"/>
    </row>
    <row r="345" spans="2:3">
      <c r="B345"/>
      <c r="C345"/>
    </row>
    <row r="346" spans="2:3">
      <c r="B346"/>
      <c r="C346"/>
    </row>
    <row r="347" spans="2:3">
      <c r="B347"/>
      <c r="C347"/>
    </row>
    <row r="348" spans="2:3">
      <c r="B348"/>
      <c r="C348"/>
    </row>
    <row r="349" spans="2:3">
      <c r="B349"/>
      <c r="C349"/>
    </row>
    <row r="350" spans="2:3">
      <c r="B350"/>
      <c r="C350"/>
    </row>
    <row r="351" spans="2:3">
      <c r="B351"/>
      <c r="C351"/>
    </row>
    <row r="352" spans="2:3">
      <c r="B352"/>
      <c r="C352"/>
    </row>
    <row r="353" spans="2:3">
      <c r="B353"/>
      <c r="C353"/>
    </row>
    <row r="354" spans="2:3">
      <c r="B354"/>
      <c r="C354"/>
    </row>
    <row r="355" spans="2:3">
      <c r="B355"/>
      <c r="C355"/>
    </row>
    <row r="356" spans="2:3">
      <c r="B356"/>
      <c r="C356"/>
    </row>
    <row r="357" spans="2:3">
      <c r="B357"/>
      <c r="C357"/>
    </row>
    <row r="358" spans="2:3">
      <c r="B358"/>
      <c r="C358"/>
    </row>
    <row r="359" spans="2:3">
      <c r="B359"/>
      <c r="C359"/>
    </row>
    <row r="360" spans="2:3">
      <c r="B360"/>
      <c r="C360"/>
    </row>
    <row r="361" spans="2:3">
      <c r="B361"/>
      <c r="C361"/>
    </row>
    <row r="362" spans="2:3">
      <c r="B362"/>
      <c r="C362"/>
    </row>
    <row r="363" spans="2:3">
      <c r="B363"/>
      <c r="C363"/>
    </row>
    <row r="364" spans="2:3">
      <c r="B364"/>
      <c r="C364"/>
    </row>
    <row r="365" spans="2:3">
      <c r="B365"/>
      <c r="C365"/>
    </row>
    <row r="366" spans="2:3">
      <c r="B366"/>
      <c r="C366"/>
    </row>
    <row r="367" spans="2:3">
      <c r="B367"/>
      <c r="C367"/>
    </row>
    <row r="368" spans="2:3">
      <c r="B368"/>
      <c r="C368"/>
    </row>
    <row r="369" spans="2:3">
      <c r="B369"/>
      <c r="C369"/>
    </row>
    <row r="370" spans="2:3">
      <c r="B370"/>
      <c r="C370"/>
    </row>
    <row r="371" spans="2:3">
      <c r="B371"/>
      <c r="C371"/>
    </row>
    <row r="372" spans="2:3">
      <c r="B372"/>
      <c r="C372"/>
    </row>
    <row r="373" spans="2:3">
      <c r="B373"/>
      <c r="C373"/>
    </row>
    <row r="374" spans="2:3">
      <c r="B374"/>
      <c r="C374"/>
    </row>
    <row r="375" spans="2:3">
      <c r="B375"/>
      <c r="C375"/>
    </row>
    <row r="376" spans="2:3">
      <c r="B376"/>
      <c r="C376"/>
    </row>
    <row r="377" spans="2:3">
      <c r="B377"/>
      <c r="C377"/>
    </row>
    <row r="378" spans="2:3">
      <c r="B378"/>
      <c r="C378"/>
    </row>
    <row r="379" spans="2:3">
      <c r="B379"/>
      <c r="C379"/>
    </row>
    <row r="380" spans="2:3">
      <c r="B380"/>
      <c r="C380"/>
    </row>
    <row r="381" spans="2:3">
      <c r="B381"/>
      <c r="C381"/>
    </row>
    <row r="382" spans="2:3">
      <c r="B382"/>
      <c r="C382"/>
    </row>
    <row r="383" spans="2:3">
      <c r="B383"/>
      <c r="C383"/>
    </row>
    <row r="384" spans="2:3">
      <c r="B384"/>
      <c r="C384"/>
    </row>
    <row r="385" spans="2:3">
      <c r="B385"/>
      <c r="C385"/>
    </row>
    <row r="386" spans="2:3">
      <c r="B386"/>
      <c r="C386"/>
    </row>
    <row r="387" spans="2:3">
      <c r="B387"/>
      <c r="C387"/>
    </row>
    <row r="388" spans="2:3">
      <c r="B388"/>
      <c r="C388"/>
    </row>
    <row r="389" spans="2:3">
      <c r="B389"/>
      <c r="C389"/>
    </row>
    <row r="390" spans="2:3">
      <c r="B390"/>
      <c r="C390"/>
    </row>
    <row r="391" spans="2:3">
      <c r="B391"/>
      <c r="C391"/>
    </row>
    <row r="392" spans="2:3">
      <c r="B392"/>
      <c r="C392"/>
    </row>
    <row r="393" spans="2:3">
      <c r="B393"/>
      <c r="C393"/>
    </row>
    <row r="394" spans="2:3">
      <c r="B394"/>
      <c r="C394"/>
    </row>
    <row r="395" spans="2:3">
      <c r="B395"/>
      <c r="C395"/>
    </row>
    <row r="396" spans="2:3">
      <c r="B396"/>
      <c r="C396"/>
    </row>
    <row r="397" spans="2:3">
      <c r="B397"/>
      <c r="C397"/>
    </row>
    <row r="398" spans="2:3">
      <c r="B398"/>
      <c r="C398"/>
    </row>
    <row r="399" spans="2:3">
      <c r="B399"/>
      <c r="C399"/>
    </row>
    <row r="400" spans="2:3">
      <c r="B400"/>
      <c r="C400"/>
    </row>
    <row r="401" spans="2:3">
      <c r="B401"/>
      <c r="C401"/>
    </row>
    <row r="402" spans="2:3">
      <c r="B402"/>
      <c r="C402"/>
    </row>
    <row r="403" spans="2:3">
      <c r="B403"/>
      <c r="C403"/>
    </row>
    <row r="404" spans="2:3">
      <c r="B404"/>
      <c r="C404"/>
    </row>
    <row r="405" spans="2:3">
      <c r="B405"/>
      <c r="C405"/>
    </row>
    <row r="406" spans="2:3">
      <c r="B406"/>
      <c r="C406"/>
    </row>
    <row r="407" spans="2:3">
      <c r="B407"/>
      <c r="C407"/>
    </row>
    <row r="408" spans="2:3">
      <c r="B408"/>
      <c r="C408"/>
    </row>
    <row r="409" spans="2:3">
      <c r="B409"/>
      <c r="C409"/>
    </row>
    <row r="410" spans="2:3">
      <c r="B410"/>
      <c r="C410"/>
    </row>
    <row r="411" spans="2:3">
      <c r="B411"/>
      <c r="C411"/>
    </row>
    <row r="412" spans="2:3">
      <c r="B412"/>
      <c r="C412"/>
    </row>
    <row r="413" spans="2:3">
      <c r="B413"/>
      <c r="C413"/>
    </row>
    <row r="414" spans="2:3">
      <c r="B414"/>
      <c r="C414"/>
    </row>
    <row r="415" spans="2:3">
      <c r="B415"/>
      <c r="C415"/>
    </row>
    <row r="416" spans="2:3">
      <c r="B416"/>
      <c r="C416"/>
    </row>
    <row r="417" spans="2:3">
      <c r="B417"/>
      <c r="C417"/>
    </row>
    <row r="418" spans="2:3">
      <c r="B418"/>
      <c r="C418"/>
    </row>
    <row r="419" spans="2:3">
      <c r="B419"/>
      <c r="C419"/>
    </row>
    <row r="420" spans="2:3">
      <c r="B420"/>
      <c r="C420"/>
    </row>
    <row r="421" spans="2:3">
      <c r="B421"/>
      <c r="C421"/>
    </row>
    <row r="422" spans="2:3">
      <c r="B422"/>
      <c r="C422"/>
    </row>
    <row r="423" spans="2:3">
      <c r="B423"/>
      <c r="C423"/>
    </row>
    <row r="424" spans="2:3">
      <c r="B424"/>
      <c r="C424"/>
    </row>
    <row r="425" spans="2:3">
      <c r="B425"/>
      <c r="C425"/>
    </row>
    <row r="426" spans="2:3">
      <c r="B426"/>
      <c r="C426"/>
    </row>
    <row r="427" spans="2:3">
      <c r="B427"/>
      <c r="C427"/>
    </row>
    <row r="428" spans="2:3">
      <c r="B428"/>
      <c r="C428"/>
    </row>
    <row r="429" spans="2:3">
      <c r="B429"/>
      <c r="C429"/>
    </row>
    <row r="430" spans="2:3">
      <c r="B430"/>
      <c r="C430"/>
    </row>
    <row r="431" spans="2:3">
      <c r="B431"/>
      <c r="C431"/>
    </row>
    <row r="432" spans="2:3">
      <c r="B432"/>
      <c r="C432"/>
    </row>
    <row r="433" spans="2:3">
      <c r="B433"/>
      <c r="C433"/>
    </row>
    <row r="434" spans="2:3">
      <c r="B434"/>
      <c r="C434"/>
    </row>
    <row r="435" spans="2:3">
      <c r="B435"/>
      <c r="C435"/>
    </row>
    <row r="436" spans="2:3">
      <c r="B436"/>
      <c r="C436"/>
    </row>
    <row r="437" spans="2:3">
      <c r="B437"/>
      <c r="C437"/>
    </row>
    <row r="438" spans="2:3">
      <c r="B438"/>
      <c r="C438"/>
    </row>
    <row r="439" spans="2:3">
      <c r="B439"/>
      <c r="C439"/>
    </row>
    <row r="440" spans="2:3">
      <c r="B440"/>
      <c r="C440"/>
    </row>
    <row r="441" spans="2:3">
      <c r="B441"/>
      <c r="C441"/>
    </row>
    <row r="442" spans="2:3">
      <c r="B442"/>
      <c r="C442"/>
    </row>
    <row r="443" spans="2:3">
      <c r="B443"/>
      <c r="C443"/>
    </row>
    <row r="444" spans="2:3">
      <c r="B444"/>
      <c r="C444"/>
    </row>
    <row r="445" spans="2:3">
      <c r="B445"/>
      <c r="C445"/>
    </row>
    <row r="446" spans="2:3">
      <c r="B446"/>
      <c r="C446"/>
    </row>
    <row r="447" spans="2:3">
      <c r="B447"/>
      <c r="C447"/>
    </row>
    <row r="448" spans="2:3">
      <c r="B448"/>
      <c r="C448"/>
    </row>
    <row r="449" spans="2:3">
      <c r="B449"/>
      <c r="C449"/>
    </row>
    <row r="450" spans="2:3">
      <c r="B450"/>
      <c r="C450"/>
    </row>
    <row r="451" spans="2:3">
      <c r="B451"/>
      <c r="C451"/>
    </row>
    <row r="452" spans="2:3">
      <c r="B452"/>
      <c r="C452"/>
    </row>
    <row r="453" spans="2:3">
      <c r="B453"/>
      <c r="C453"/>
    </row>
    <row r="454" spans="2:3">
      <c r="B454"/>
      <c r="C454"/>
    </row>
    <row r="455" spans="2:3">
      <c r="B455"/>
      <c r="C455"/>
    </row>
    <row r="456" spans="2:3">
      <c r="B456"/>
      <c r="C456"/>
    </row>
    <row r="457" spans="2:3">
      <c r="B457"/>
      <c r="C457"/>
    </row>
    <row r="458" spans="2:3">
      <c r="B458"/>
      <c r="C458"/>
    </row>
    <row r="459" spans="2:3">
      <c r="B459"/>
      <c r="C459"/>
    </row>
    <row r="460" spans="2:3">
      <c r="B460"/>
      <c r="C460"/>
    </row>
    <row r="461" spans="2:3">
      <c r="B461"/>
      <c r="C461"/>
    </row>
    <row r="462" spans="2:3">
      <c r="B462"/>
      <c r="C462"/>
    </row>
    <row r="463" spans="2:3">
      <c r="B463"/>
      <c r="C463"/>
    </row>
    <row r="464" spans="2:3">
      <c r="B464"/>
      <c r="C464"/>
    </row>
    <row r="465" spans="2:3">
      <c r="B465"/>
      <c r="C465"/>
    </row>
    <row r="466" spans="2:3">
      <c r="B466"/>
      <c r="C466"/>
    </row>
    <row r="467" spans="2:3">
      <c r="B467"/>
      <c r="C467"/>
    </row>
    <row r="468" spans="2:3">
      <c r="B468"/>
      <c r="C468"/>
    </row>
    <row r="469" spans="2:3">
      <c r="B469"/>
      <c r="C469"/>
    </row>
    <row r="470" spans="2:3">
      <c r="B470"/>
      <c r="C470"/>
    </row>
    <row r="471" spans="2:3">
      <c r="B471"/>
      <c r="C471"/>
    </row>
    <row r="472" spans="2:3">
      <c r="B472"/>
      <c r="C472"/>
    </row>
    <row r="473" spans="2:3">
      <c r="B473"/>
      <c r="C473"/>
    </row>
    <row r="474" spans="2:3">
      <c r="B474"/>
      <c r="C474"/>
    </row>
    <row r="475" spans="2:3">
      <c r="B475"/>
      <c r="C475"/>
    </row>
    <row r="476" spans="2:3">
      <c r="B476"/>
      <c r="C476"/>
    </row>
    <row r="477" spans="2:3">
      <c r="B477"/>
      <c r="C477"/>
    </row>
    <row r="478" spans="2:3">
      <c r="B478"/>
      <c r="C478"/>
    </row>
    <row r="479" spans="2:3">
      <c r="B479"/>
      <c r="C479"/>
    </row>
    <row r="480" spans="2:3">
      <c r="B480"/>
      <c r="C480"/>
    </row>
    <row r="481" spans="2:3">
      <c r="B481"/>
      <c r="C481"/>
    </row>
    <row r="482" spans="2:3">
      <c r="B482"/>
      <c r="C482"/>
    </row>
    <row r="483" spans="2:3">
      <c r="B483"/>
      <c r="C483"/>
    </row>
    <row r="484" spans="2:3">
      <c r="B484"/>
      <c r="C484"/>
    </row>
    <row r="485" spans="2:3">
      <c r="B485"/>
      <c r="C485"/>
    </row>
    <row r="486" spans="2:3">
      <c r="B486"/>
      <c r="C486"/>
    </row>
    <row r="487" spans="2:3">
      <c r="B487"/>
      <c r="C487"/>
    </row>
    <row r="488" spans="2:3">
      <c r="B488"/>
      <c r="C488"/>
    </row>
    <row r="489" spans="2:3">
      <c r="B489"/>
      <c r="C489"/>
    </row>
    <row r="490" spans="2:3">
      <c r="B490"/>
      <c r="C490"/>
    </row>
    <row r="491" spans="2:3">
      <c r="B491"/>
      <c r="C491"/>
    </row>
    <row r="492" spans="2:3">
      <c r="B492"/>
      <c r="C492"/>
    </row>
    <row r="493" spans="2:3">
      <c r="B493"/>
      <c r="C493"/>
    </row>
    <row r="494" spans="2:3">
      <c r="B494"/>
      <c r="C494"/>
    </row>
    <row r="495" spans="2:3">
      <c r="B495"/>
      <c r="C495"/>
    </row>
    <row r="496" spans="2:3">
      <c r="B496"/>
      <c r="C496"/>
    </row>
    <row r="497" spans="2:3">
      <c r="B497"/>
      <c r="C497"/>
    </row>
    <row r="498" spans="2:3">
      <c r="B498"/>
      <c r="C498"/>
    </row>
    <row r="499" spans="2:3">
      <c r="B499"/>
      <c r="C499"/>
    </row>
    <row r="500" spans="2:3">
      <c r="B500"/>
      <c r="C500"/>
    </row>
    <row r="501" spans="2:3">
      <c r="B501"/>
      <c r="C501"/>
    </row>
    <row r="502" spans="2:3">
      <c r="B502"/>
      <c r="C502"/>
    </row>
    <row r="503" spans="2:3">
      <c r="B503"/>
      <c r="C503"/>
    </row>
    <row r="504" spans="2:3">
      <c r="B504"/>
      <c r="C504"/>
    </row>
    <row r="505" spans="2:3">
      <c r="B505"/>
      <c r="C505"/>
    </row>
    <row r="506" spans="2:3">
      <c r="B506"/>
      <c r="C506"/>
    </row>
    <row r="507" spans="2:3">
      <c r="B507"/>
      <c r="C507"/>
    </row>
    <row r="508" spans="2:3">
      <c r="B508"/>
      <c r="C508"/>
    </row>
    <row r="509" spans="2:3">
      <c r="B509"/>
      <c r="C509"/>
    </row>
    <row r="510" spans="2:3">
      <c r="B510"/>
      <c r="C510"/>
    </row>
    <row r="511" spans="2:3">
      <c r="B511"/>
      <c r="C511"/>
    </row>
    <row r="512" spans="2:3">
      <c r="B512"/>
      <c r="C512"/>
    </row>
    <row r="513" spans="2:3">
      <c r="B513"/>
      <c r="C513"/>
    </row>
    <row r="514" spans="2:3">
      <c r="B514"/>
      <c r="C514"/>
    </row>
    <row r="515" spans="2:3">
      <c r="B515"/>
      <c r="C515"/>
    </row>
    <row r="516" spans="2:3">
      <c r="B516"/>
      <c r="C516"/>
    </row>
    <row r="517" spans="2:3">
      <c r="B517"/>
      <c r="C517"/>
    </row>
    <row r="518" spans="2:3">
      <c r="B518"/>
      <c r="C518"/>
    </row>
    <row r="519" spans="2:3">
      <c r="B519"/>
      <c r="C519"/>
    </row>
    <row r="520" spans="2:3">
      <c r="B520"/>
      <c r="C520"/>
    </row>
    <row r="521" spans="2:3">
      <c r="B521"/>
      <c r="C521"/>
    </row>
    <row r="522" spans="2:3">
      <c r="B522"/>
      <c r="C522"/>
    </row>
    <row r="523" spans="2:3">
      <c r="B523"/>
      <c r="C523"/>
    </row>
    <row r="524" spans="2:3">
      <c r="B524"/>
      <c r="C524"/>
    </row>
    <row r="525" spans="2:3">
      <c r="B525"/>
      <c r="C525"/>
    </row>
    <row r="526" spans="2:3">
      <c r="B526"/>
      <c r="C526"/>
    </row>
    <row r="527" spans="2:3">
      <c r="B527"/>
      <c r="C527"/>
    </row>
    <row r="528" spans="2:3">
      <c r="B528"/>
      <c r="C528"/>
    </row>
    <row r="529" spans="2:3">
      <c r="B529"/>
      <c r="C529"/>
    </row>
    <row r="530" spans="2:3">
      <c r="B530"/>
      <c r="C530"/>
    </row>
    <row r="531" spans="2:3">
      <c r="B531"/>
      <c r="C531"/>
    </row>
    <row r="532" spans="2:3">
      <c r="B532"/>
      <c r="C532"/>
    </row>
    <row r="533" spans="2:3">
      <c r="B533"/>
      <c r="C533"/>
    </row>
    <row r="534" spans="2:3">
      <c r="B534"/>
      <c r="C534"/>
    </row>
    <row r="535" spans="2:3">
      <c r="B535"/>
      <c r="C535"/>
    </row>
    <row r="536" spans="2:3">
      <c r="B536"/>
      <c r="C536"/>
    </row>
    <row r="537" spans="2:3">
      <c r="B537"/>
      <c r="C537"/>
    </row>
    <row r="538" spans="2:3">
      <c r="B538"/>
      <c r="C538"/>
    </row>
    <row r="539" spans="2:3">
      <c r="B539"/>
      <c r="C539"/>
    </row>
    <row r="540" spans="2:3">
      <c r="B540"/>
      <c r="C540"/>
    </row>
    <row r="541" spans="2:3">
      <c r="B541"/>
      <c r="C541"/>
    </row>
    <row r="542" spans="2:3">
      <c r="B542"/>
      <c r="C542"/>
    </row>
    <row r="543" spans="2:3">
      <c r="B543"/>
      <c r="C543"/>
    </row>
    <row r="544" spans="2:3">
      <c r="B544"/>
      <c r="C544"/>
    </row>
    <row r="545" spans="2:3">
      <c r="B545"/>
      <c r="C545"/>
    </row>
    <row r="546" spans="2:3">
      <c r="B546"/>
      <c r="C546"/>
    </row>
    <row r="547" spans="2:3">
      <c r="B547"/>
      <c r="C547"/>
    </row>
    <row r="548" spans="2:3">
      <c r="B548"/>
      <c r="C548"/>
    </row>
    <row r="549" spans="2:3">
      <c r="B549"/>
      <c r="C549"/>
    </row>
    <row r="550" spans="2:3">
      <c r="B550"/>
      <c r="C550"/>
    </row>
    <row r="551" spans="2:3">
      <c r="B551"/>
      <c r="C551"/>
    </row>
    <row r="552" spans="2:3">
      <c r="B552"/>
      <c r="C552"/>
    </row>
    <row r="553" spans="2:3">
      <c r="B553"/>
      <c r="C553"/>
    </row>
    <row r="554" spans="2:3">
      <c r="B554"/>
      <c r="C554"/>
    </row>
    <row r="555" spans="2:3">
      <c r="B555"/>
      <c r="C555"/>
    </row>
    <row r="556" spans="2:3">
      <c r="B556"/>
      <c r="C556"/>
    </row>
    <row r="557" spans="2:3">
      <c r="B557"/>
      <c r="C557"/>
    </row>
    <row r="558" spans="2:3">
      <c r="B558"/>
      <c r="C558"/>
    </row>
    <row r="559" spans="2:3">
      <c r="B559"/>
      <c r="C559"/>
    </row>
    <row r="560" spans="2:3">
      <c r="B560"/>
      <c r="C560"/>
    </row>
    <row r="561" spans="2:3">
      <c r="B561"/>
      <c r="C561"/>
    </row>
    <row r="562" spans="2:3">
      <c r="B562"/>
      <c r="C562"/>
    </row>
    <row r="563" spans="2:3">
      <c r="B563"/>
      <c r="C563"/>
    </row>
    <row r="564" spans="2:3">
      <c r="B564"/>
      <c r="C564"/>
    </row>
    <row r="565" spans="2:3">
      <c r="B565"/>
      <c r="C565"/>
    </row>
    <row r="566" spans="2:3">
      <c r="B566"/>
      <c r="C566"/>
    </row>
    <row r="567" spans="2:3">
      <c r="B567"/>
      <c r="C567"/>
    </row>
    <row r="568" spans="2:3">
      <c r="B568"/>
      <c r="C568"/>
    </row>
    <row r="569" spans="2:3">
      <c r="B569"/>
      <c r="C569"/>
    </row>
    <row r="570" spans="2:3">
      <c r="B570"/>
      <c r="C570"/>
    </row>
    <row r="571" spans="2:3">
      <c r="B571"/>
      <c r="C571"/>
    </row>
    <row r="572" spans="2:3">
      <c r="B572"/>
      <c r="C572"/>
    </row>
    <row r="573" spans="2:3">
      <c r="B573"/>
      <c r="C573"/>
    </row>
    <row r="574" spans="2:3">
      <c r="B574"/>
      <c r="C574"/>
    </row>
    <row r="575" spans="2:3">
      <c r="B575"/>
      <c r="C575"/>
    </row>
    <row r="576" spans="2:3">
      <c r="B576"/>
      <c r="C576"/>
    </row>
    <row r="577" spans="2:3">
      <c r="B577"/>
      <c r="C577"/>
    </row>
    <row r="578" spans="2:3">
      <c r="B578"/>
      <c r="C578"/>
    </row>
    <row r="579" spans="2:3">
      <c r="B579"/>
      <c r="C579"/>
    </row>
    <row r="580" spans="2:3">
      <c r="B580"/>
      <c r="C580"/>
    </row>
    <row r="581" spans="2:3">
      <c r="B581"/>
      <c r="C581"/>
    </row>
    <row r="582" spans="2:3">
      <c r="B582"/>
      <c r="C582"/>
    </row>
    <row r="583" spans="2:3">
      <c r="B583"/>
      <c r="C583"/>
    </row>
    <row r="584" spans="2:3">
      <c r="B584"/>
      <c r="C584"/>
    </row>
    <row r="585" spans="2:3">
      <c r="B585"/>
      <c r="C585"/>
    </row>
    <row r="586" spans="2:3">
      <c r="B586"/>
      <c r="C586"/>
    </row>
    <row r="587" spans="2:3">
      <c r="B587"/>
      <c r="C587"/>
    </row>
    <row r="588" spans="2:3">
      <c r="B588"/>
      <c r="C588"/>
    </row>
    <row r="589" spans="2:3">
      <c r="B589"/>
      <c r="C589"/>
    </row>
    <row r="590" spans="2:3">
      <c r="B590"/>
      <c r="C590"/>
    </row>
    <row r="591" spans="2:3">
      <c r="B591"/>
      <c r="C591"/>
    </row>
    <row r="592" spans="2:3">
      <c r="B592"/>
      <c r="C592"/>
    </row>
    <row r="593" spans="2:3">
      <c r="B593"/>
      <c r="C593"/>
    </row>
    <row r="594" spans="2:3">
      <c r="B594"/>
      <c r="C594"/>
    </row>
    <row r="595" spans="2:3">
      <c r="B595"/>
      <c r="C595"/>
    </row>
    <row r="596" spans="2:3">
      <c r="B596"/>
      <c r="C596"/>
    </row>
    <row r="597" spans="2:3">
      <c r="B597"/>
      <c r="C597"/>
    </row>
    <row r="598" spans="2:3">
      <c r="B598"/>
      <c r="C598"/>
    </row>
    <row r="599" spans="2:3">
      <c r="B599"/>
      <c r="C599"/>
    </row>
    <row r="600" spans="2:3">
      <c r="B600"/>
      <c r="C600"/>
    </row>
    <row r="601" spans="2:3">
      <c r="B601"/>
      <c r="C601"/>
    </row>
    <row r="602" spans="2:3">
      <c r="B602"/>
      <c r="C602"/>
    </row>
    <row r="603" spans="2:3">
      <c r="B603"/>
      <c r="C603"/>
    </row>
    <row r="604" spans="2:3">
      <c r="B604"/>
      <c r="C604"/>
    </row>
    <row r="605" spans="2:3">
      <c r="B605"/>
      <c r="C605"/>
    </row>
    <row r="606" spans="2:3">
      <c r="B606"/>
      <c r="C606"/>
    </row>
    <row r="607" spans="2:3">
      <c r="B607"/>
      <c r="C607"/>
    </row>
    <row r="608" spans="2:3">
      <c r="B608"/>
      <c r="C608"/>
    </row>
    <row r="609" spans="2:3">
      <c r="B609"/>
      <c r="C609"/>
    </row>
    <row r="610" spans="2:3">
      <c r="B610"/>
      <c r="C610"/>
    </row>
    <row r="611" spans="2:3">
      <c r="B611"/>
      <c r="C611"/>
    </row>
    <row r="612" spans="2:3">
      <c r="B612"/>
      <c r="C612"/>
    </row>
    <row r="613" spans="2:3">
      <c r="B613"/>
      <c r="C613"/>
    </row>
    <row r="614" spans="2:3">
      <c r="B614"/>
      <c r="C614"/>
    </row>
    <row r="615" spans="2:3">
      <c r="B615"/>
      <c r="C615"/>
    </row>
    <row r="616" spans="2:3">
      <c r="B616"/>
      <c r="C616"/>
    </row>
    <row r="617" spans="2:3">
      <c r="B617"/>
      <c r="C617"/>
    </row>
    <row r="618" spans="2:3">
      <c r="B618"/>
      <c r="C618"/>
    </row>
    <row r="619" spans="2:3">
      <c r="B619"/>
      <c r="C619"/>
    </row>
    <row r="620" spans="2:3">
      <c r="B620"/>
      <c r="C620"/>
    </row>
    <row r="621" spans="2:3">
      <c r="B621"/>
      <c r="C621"/>
    </row>
    <row r="622" spans="2:3">
      <c r="B622"/>
      <c r="C622"/>
    </row>
    <row r="623" spans="2:3">
      <c r="B623"/>
      <c r="C623"/>
    </row>
    <row r="624" spans="2:3">
      <c r="B624"/>
      <c r="C624"/>
    </row>
    <row r="625" spans="2:3">
      <c r="B625"/>
      <c r="C625"/>
    </row>
    <row r="626" spans="2:3">
      <c r="B626"/>
      <c r="C626"/>
    </row>
    <row r="627" spans="2:3">
      <c r="B627"/>
      <c r="C627"/>
    </row>
    <row r="628" spans="2:3">
      <c r="B628"/>
      <c r="C628"/>
    </row>
    <row r="629" spans="2:3">
      <c r="B629"/>
      <c r="C629"/>
    </row>
    <row r="630" spans="2:3">
      <c r="B630"/>
      <c r="C630"/>
    </row>
    <row r="631" spans="2:3">
      <c r="B631"/>
      <c r="C631"/>
    </row>
    <row r="632" spans="2:3">
      <c r="B632"/>
      <c r="C632"/>
    </row>
    <row r="633" spans="2:3">
      <c r="B633"/>
      <c r="C633"/>
    </row>
    <row r="634" spans="2:3">
      <c r="B634"/>
      <c r="C634"/>
    </row>
    <row r="635" spans="2:3">
      <c r="B635"/>
      <c r="C635"/>
    </row>
    <row r="636" spans="2:3">
      <c r="B636"/>
      <c r="C636"/>
    </row>
    <row r="637" spans="2:3">
      <c r="B637"/>
      <c r="C637"/>
    </row>
    <row r="638" spans="2:3">
      <c r="B638"/>
      <c r="C638"/>
    </row>
    <row r="639" spans="2:3">
      <c r="B639"/>
      <c r="C639"/>
    </row>
    <row r="640" spans="2:3">
      <c r="B640"/>
      <c r="C640"/>
    </row>
    <row r="641" spans="2:3">
      <c r="B641"/>
      <c r="C641"/>
    </row>
    <row r="642" spans="2:3">
      <c r="B642"/>
      <c r="C642"/>
    </row>
    <row r="643" spans="2:3">
      <c r="B643"/>
      <c r="C643"/>
    </row>
    <row r="644" spans="2:3">
      <c r="B644"/>
      <c r="C644"/>
    </row>
    <row r="645" spans="2:3">
      <c r="B645"/>
      <c r="C645"/>
    </row>
    <row r="646" spans="2:3">
      <c r="B646"/>
      <c r="C646"/>
    </row>
    <row r="647" spans="2:3">
      <c r="B647"/>
      <c r="C647"/>
    </row>
    <row r="648" spans="2:3">
      <c r="B648"/>
      <c r="C648"/>
    </row>
    <row r="649" spans="2:3">
      <c r="B649"/>
      <c r="C649"/>
    </row>
    <row r="650" spans="2:3">
      <c r="B650"/>
      <c r="C650"/>
    </row>
    <row r="651" spans="2:3">
      <c r="B651"/>
      <c r="C651"/>
    </row>
    <row r="652" spans="2:3">
      <c r="B652"/>
      <c r="C652"/>
    </row>
    <row r="653" spans="2:3">
      <c r="B653"/>
      <c r="C653"/>
    </row>
    <row r="654" spans="2:3">
      <c r="B654"/>
      <c r="C654"/>
    </row>
    <row r="655" spans="2:3">
      <c r="B655"/>
      <c r="C655"/>
    </row>
    <row r="656" spans="2:3">
      <c r="B656"/>
      <c r="C656"/>
    </row>
    <row r="657" spans="2:3">
      <c r="B657"/>
      <c r="C657"/>
    </row>
    <row r="658" spans="2:3">
      <c r="B658"/>
      <c r="C658"/>
    </row>
    <row r="659" spans="2:3">
      <c r="B659"/>
      <c r="C659"/>
    </row>
    <row r="660" spans="2:3">
      <c r="B660"/>
      <c r="C660"/>
    </row>
    <row r="661" spans="2:3">
      <c r="B661"/>
      <c r="C661"/>
    </row>
    <row r="662" spans="2:3">
      <c r="B662"/>
      <c r="C662"/>
    </row>
    <row r="663" spans="2:3">
      <c r="B663"/>
      <c r="C663"/>
    </row>
    <row r="664" spans="2:3">
      <c r="B664"/>
      <c r="C664"/>
    </row>
    <row r="665" spans="2:3">
      <c r="B665"/>
      <c r="C665"/>
    </row>
    <row r="666" spans="2:3">
      <c r="B666"/>
      <c r="C666"/>
    </row>
    <row r="667" spans="2:3">
      <c r="B667"/>
      <c r="C667"/>
    </row>
    <row r="668" spans="2:3">
      <c r="B668"/>
      <c r="C668"/>
    </row>
    <row r="669" spans="2:3">
      <c r="B669"/>
      <c r="C669"/>
    </row>
    <row r="670" spans="2:3">
      <c r="B670"/>
      <c r="C670"/>
    </row>
    <row r="671" spans="2:3">
      <c r="B671"/>
      <c r="C671"/>
    </row>
    <row r="672" spans="2:3">
      <c r="B672"/>
      <c r="C672"/>
    </row>
    <row r="673" spans="2:3">
      <c r="B673"/>
      <c r="C673"/>
    </row>
    <row r="674" spans="2:3">
      <c r="B674"/>
      <c r="C674"/>
    </row>
    <row r="675" spans="2:3">
      <c r="B675"/>
      <c r="C675"/>
    </row>
    <row r="676" spans="2:3">
      <c r="B676"/>
      <c r="C676"/>
    </row>
    <row r="677" spans="2:3">
      <c r="B677"/>
      <c r="C677"/>
    </row>
    <row r="678" spans="2:3">
      <c r="B678"/>
      <c r="C678"/>
    </row>
    <row r="679" spans="2:3">
      <c r="B679"/>
      <c r="C679"/>
    </row>
    <row r="680" spans="2:3">
      <c r="B680"/>
      <c r="C680"/>
    </row>
    <row r="681" spans="2:3">
      <c r="B681"/>
      <c r="C681"/>
    </row>
    <row r="682" spans="2:3">
      <c r="B682"/>
      <c r="C682"/>
    </row>
    <row r="683" spans="2:3">
      <c r="B683"/>
      <c r="C683"/>
    </row>
    <row r="684" spans="2:3">
      <c r="B684"/>
      <c r="C684"/>
    </row>
    <row r="685" spans="2:3">
      <c r="B685"/>
      <c r="C685"/>
    </row>
    <row r="686" spans="2:3">
      <c r="B686"/>
      <c r="C686"/>
    </row>
    <row r="687" spans="2:3">
      <c r="B687"/>
      <c r="C687"/>
    </row>
    <row r="688" spans="2:3">
      <c r="B688"/>
      <c r="C688"/>
    </row>
    <row r="689" spans="2:3">
      <c r="B689"/>
      <c r="C689"/>
    </row>
    <row r="690" spans="2:3">
      <c r="B690"/>
      <c r="C690"/>
    </row>
    <row r="691" spans="2:3">
      <c r="B691"/>
      <c r="C691"/>
    </row>
    <row r="692" spans="2:3">
      <c r="B692"/>
      <c r="C692"/>
    </row>
    <row r="693" spans="2:3">
      <c r="B693"/>
      <c r="C693"/>
    </row>
    <row r="694" spans="2:3">
      <c r="B694"/>
      <c r="C694"/>
    </row>
    <row r="695" spans="2:3">
      <c r="B695"/>
      <c r="C695"/>
    </row>
    <row r="696" spans="2:3">
      <c r="B696"/>
      <c r="C696"/>
    </row>
    <row r="697" spans="2:3">
      <c r="B697"/>
      <c r="C697"/>
    </row>
    <row r="698" spans="2:3">
      <c r="B698"/>
      <c r="C698"/>
    </row>
    <row r="699" spans="2:3">
      <c r="B699"/>
      <c r="C699"/>
    </row>
    <row r="700" spans="2:3">
      <c r="B700"/>
      <c r="C700"/>
    </row>
    <row r="701" spans="2:3">
      <c r="B701"/>
      <c r="C701"/>
    </row>
    <row r="702" spans="2:3">
      <c r="B702"/>
      <c r="C702"/>
    </row>
    <row r="703" spans="2:3">
      <c r="B703"/>
      <c r="C703"/>
    </row>
    <row r="704" spans="2:3">
      <c r="B704"/>
      <c r="C704"/>
    </row>
    <row r="705" spans="2:3">
      <c r="B705"/>
      <c r="C705"/>
    </row>
    <row r="706" spans="2:3">
      <c r="B706"/>
      <c r="C706"/>
    </row>
    <row r="707" spans="2:3">
      <c r="B707"/>
      <c r="C707"/>
    </row>
    <row r="708" spans="2:3">
      <c r="B708"/>
      <c r="C708"/>
    </row>
    <row r="709" spans="2:3">
      <c r="B709"/>
      <c r="C709"/>
    </row>
    <row r="710" spans="2:3">
      <c r="B710"/>
      <c r="C710"/>
    </row>
    <row r="711" spans="2:3">
      <c r="B711"/>
      <c r="C711"/>
    </row>
    <row r="712" spans="2:3">
      <c r="B712"/>
      <c r="C712"/>
    </row>
    <row r="713" spans="2:3">
      <c r="B713"/>
      <c r="C713"/>
    </row>
    <row r="714" spans="2:3">
      <c r="B714"/>
      <c r="C714"/>
    </row>
    <row r="715" spans="2:3">
      <c r="B715"/>
      <c r="C715"/>
    </row>
    <row r="716" spans="2:3">
      <c r="B716"/>
      <c r="C716"/>
    </row>
    <row r="717" spans="2:3">
      <c r="B717"/>
      <c r="C717"/>
    </row>
    <row r="718" spans="2:3">
      <c r="B718"/>
      <c r="C718"/>
    </row>
    <row r="719" spans="2:3">
      <c r="B719"/>
      <c r="C719"/>
    </row>
    <row r="720" spans="2:3">
      <c r="B720"/>
      <c r="C720"/>
    </row>
    <row r="721" spans="2:3">
      <c r="B721"/>
      <c r="C721"/>
    </row>
    <row r="722" spans="2:3">
      <c r="B722"/>
      <c r="C722"/>
    </row>
    <row r="723" spans="2:3">
      <c r="B723"/>
      <c r="C723"/>
    </row>
    <row r="724" spans="2:3">
      <c r="B724"/>
      <c r="C724"/>
    </row>
    <row r="725" spans="2:3">
      <c r="B725"/>
      <c r="C725"/>
    </row>
    <row r="726" spans="2:3">
      <c r="B726"/>
      <c r="C726"/>
    </row>
    <row r="727" spans="2:3">
      <c r="B727"/>
      <c r="C727"/>
    </row>
    <row r="728" spans="2:3">
      <c r="B728"/>
      <c r="C728"/>
    </row>
    <row r="729" spans="2:3">
      <c r="B729"/>
      <c r="C729"/>
    </row>
    <row r="730" spans="2:3">
      <c r="B730"/>
      <c r="C730"/>
    </row>
    <row r="731" spans="2:3">
      <c r="B731"/>
      <c r="C731"/>
    </row>
    <row r="732" spans="2:3">
      <c r="B732"/>
      <c r="C732"/>
    </row>
    <row r="733" spans="2:3">
      <c r="B733"/>
      <c r="C733"/>
    </row>
    <row r="734" spans="2:3">
      <c r="B734"/>
      <c r="C734"/>
    </row>
    <row r="735" spans="2:3">
      <c r="B735"/>
      <c r="C735"/>
    </row>
    <row r="736" spans="2:3">
      <c r="B736"/>
      <c r="C736"/>
    </row>
    <row r="737" spans="2:3">
      <c r="B737"/>
      <c r="C737"/>
    </row>
    <row r="738" spans="2:3">
      <c r="B738"/>
      <c r="C738"/>
    </row>
    <row r="739" spans="2:3">
      <c r="B739"/>
      <c r="C739"/>
    </row>
    <row r="740" spans="2:3">
      <c r="B740"/>
      <c r="C740"/>
    </row>
    <row r="741" spans="2:3">
      <c r="B741"/>
      <c r="C741"/>
    </row>
    <row r="742" spans="2:3">
      <c r="B742"/>
      <c r="C742"/>
    </row>
    <row r="743" spans="2:3">
      <c r="B743"/>
      <c r="C743"/>
    </row>
    <row r="744" spans="2:3">
      <c r="B744"/>
      <c r="C744"/>
    </row>
    <row r="745" spans="2:3">
      <c r="B745"/>
      <c r="C745"/>
    </row>
    <row r="746" spans="2:3">
      <c r="B746"/>
      <c r="C746"/>
    </row>
    <row r="747" spans="2:3">
      <c r="B747"/>
      <c r="C747"/>
    </row>
    <row r="748" spans="2:3">
      <c r="B748"/>
      <c r="C748"/>
    </row>
    <row r="749" spans="2:3">
      <c r="B749"/>
      <c r="C749"/>
    </row>
    <row r="750" spans="2:3">
      <c r="B750"/>
      <c r="C750"/>
    </row>
    <row r="751" spans="2:3">
      <c r="B751"/>
      <c r="C751"/>
    </row>
    <row r="752" spans="2:3">
      <c r="B752"/>
      <c r="C752"/>
    </row>
    <row r="753" spans="2:3">
      <c r="B753"/>
      <c r="C753"/>
    </row>
    <row r="754" spans="2:3">
      <c r="B754"/>
      <c r="C754"/>
    </row>
    <row r="755" spans="2:3">
      <c r="B755"/>
      <c r="C755"/>
    </row>
    <row r="756" spans="2:3">
      <c r="B756"/>
      <c r="C756"/>
    </row>
    <row r="757" spans="2:3">
      <c r="B757"/>
      <c r="C757"/>
    </row>
    <row r="758" spans="2:3">
      <c r="B758"/>
      <c r="C758"/>
    </row>
    <row r="759" spans="2:3">
      <c r="B759"/>
      <c r="C759"/>
    </row>
    <row r="760" spans="2:3">
      <c r="B760"/>
      <c r="C760"/>
    </row>
    <row r="761" spans="2:3">
      <c r="B761"/>
      <c r="C761"/>
    </row>
    <row r="762" spans="2:3">
      <c r="B762"/>
      <c r="C762"/>
    </row>
    <row r="763" spans="2:3">
      <c r="B763"/>
      <c r="C763"/>
    </row>
    <row r="764" spans="2:3">
      <c r="B764"/>
      <c r="C764"/>
    </row>
    <row r="765" spans="2:3">
      <c r="B765"/>
      <c r="C765"/>
    </row>
    <row r="766" spans="2:3">
      <c r="B766"/>
      <c r="C766"/>
    </row>
    <row r="767" spans="2:3">
      <c r="B767"/>
      <c r="C767"/>
    </row>
    <row r="768" spans="2:3">
      <c r="B768"/>
      <c r="C768"/>
    </row>
    <row r="769" spans="2:3">
      <c r="B769"/>
      <c r="C769"/>
    </row>
    <row r="770" spans="2:3">
      <c r="B770"/>
      <c r="C770"/>
    </row>
    <row r="771" spans="2:3">
      <c r="B771"/>
      <c r="C771"/>
    </row>
    <row r="772" spans="2:3">
      <c r="B772"/>
      <c r="C772"/>
    </row>
    <row r="773" spans="2:3">
      <c r="B773"/>
      <c r="C773"/>
    </row>
    <row r="774" spans="2:3">
      <c r="B774"/>
      <c r="C774"/>
    </row>
    <row r="775" spans="2:3">
      <c r="B775"/>
      <c r="C775"/>
    </row>
    <row r="776" spans="2:3">
      <c r="B776"/>
      <c r="C776"/>
    </row>
    <row r="777" spans="2:3">
      <c r="B777"/>
      <c r="C777"/>
    </row>
    <row r="778" spans="2:3">
      <c r="B778"/>
      <c r="C778"/>
    </row>
    <row r="779" spans="2:3">
      <c r="B779"/>
      <c r="C779"/>
    </row>
    <row r="780" spans="2:3">
      <c r="B780"/>
      <c r="C780"/>
    </row>
    <row r="781" spans="2:3">
      <c r="B781"/>
      <c r="C781"/>
    </row>
    <row r="782" spans="2:3">
      <c r="B782"/>
      <c r="C782"/>
    </row>
    <row r="783" spans="2:3">
      <c r="B783"/>
      <c r="C783"/>
    </row>
    <row r="784" spans="2:3">
      <c r="B784"/>
      <c r="C784"/>
    </row>
    <row r="785" spans="2:3">
      <c r="B785"/>
      <c r="C785"/>
    </row>
    <row r="786" spans="2:3">
      <c r="B786"/>
      <c r="C786"/>
    </row>
    <row r="787" spans="2:3">
      <c r="B787"/>
      <c r="C787"/>
    </row>
    <row r="788" spans="2:3">
      <c r="B788"/>
      <c r="C788"/>
    </row>
    <row r="789" spans="2:3">
      <c r="B789"/>
      <c r="C789"/>
    </row>
    <row r="790" spans="2:3">
      <c r="B790"/>
      <c r="C790"/>
    </row>
    <row r="791" spans="2:3">
      <c r="B791"/>
      <c r="C791"/>
    </row>
    <row r="792" spans="2:3">
      <c r="B792"/>
      <c r="C792"/>
    </row>
    <row r="793" spans="2:3">
      <c r="B793"/>
      <c r="C793"/>
    </row>
    <row r="794" spans="2:3">
      <c r="B794"/>
      <c r="C794"/>
    </row>
    <row r="795" spans="2:3">
      <c r="B795"/>
      <c r="C795"/>
    </row>
    <row r="796" spans="2:3">
      <c r="B796"/>
      <c r="C796"/>
    </row>
    <row r="797" spans="2:3">
      <c r="B797"/>
      <c r="C797"/>
    </row>
    <row r="798" spans="2:3">
      <c r="B798"/>
      <c r="C798"/>
    </row>
    <row r="799" spans="2:3">
      <c r="B799"/>
      <c r="C799"/>
    </row>
    <row r="800" spans="2:3">
      <c r="B800"/>
      <c r="C800"/>
    </row>
    <row r="801" spans="2:3">
      <c r="B801"/>
      <c r="C801"/>
    </row>
    <row r="802" spans="2:3">
      <c r="B802"/>
      <c r="C802"/>
    </row>
    <row r="803" spans="2:3">
      <c r="B803"/>
      <c r="C803"/>
    </row>
    <row r="804" spans="2:3">
      <c r="B804"/>
      <c r="C804"/>
    </row>
    <row r="805" spans="2:3">
      <c r="B805"/>
      <c r="C805"/>
    </row>
    <row r="806" spans="2:3">
      <c r="B806"/>
      <c r="C806"/>
    </row>
    <row r="807" spans="2:3">
      <c r="B807"/>
      <c r="C807"/>
    </row>
    <row r="808" spans="2:3">
      <c r="B808"/>
      <c r="C808"/>
    </row>
    <row r="809" spans="2:3">
      <c r="B809"/>
      <c r="C809"/>
    </row>
    <row r="810" spans="2:3">
      <c r="B810"/>
      <c r="C810"/>
    </row>
    <row r="811" spans="2:3">
      <c r="B811"/>
      <c r="C811"/>
    </row>
    <row r="812" spans="2:3">
      <c r="B812"/>
      <c r="C812"/>
    </row>
    <row r="813" spans="2:3">
      <c r="B813"/>
      <c r="C813"/>
    </row>
    <row r="814" spans="2:3">
      <c r="B814"/>
      <c r="C814"/>
    </row>
    <row r="815" spans="2:3">
      <c r="B815"/>
      <c r="C815"/>
    </row>
    <row r="816" spans="2:3">
      <c r="B816"/>
      <c r="C816"/>
    </row>
    <row r="817" spans="2:3">
      <c r="B817"/>
      <c r="C817"/>
    </row>
    <row r="818" spans="2:3">
      <c r="B818"/>
      <c r="C818"/>
    </row>
    <row r="819" spans="2:3">
      <c r="B819"/>
      <c r="C819"/>
    </row>
    <row r="820" spans="2:3">
      <c r="B820"/>
      <c r="C820"/>
    </row>
    <row r="821" spans="2:3">
      <c r="B821"/>
      <c r="C821"/>
    </row>
    <row r="822" spans="2:3">
      <c r="B822"/>
      <c r="C822"/>
    </row>
    <row r="823" spans="2:3">
      <c r="B823"/>
      <c r="C823"/>
    </row>
    <row r="824" spans="2:3">
      <c r="B824"/>
      <c r="C824"/>
    </row>
    <row r="825" spans="2:3">
      <c r="B825"/>
      <c r="C825"/>
    </row>
    <row r="826" spans="2:3">
      <c r="B826"/>
      <c r="C826"/>
    </row>
    <row r="827" spans="2:3">
      <c r="B827"/>
      <c r="C827"/>
    </row>
    <row r="828" spans="2:3">
      <c r="B828"/>
      <c r="C828"/>
    </row>
    <row r="829" spans="2:3">
      <c r="B829"/>
      <c r="C829"/>
    </row>
    <row r="830" spans="2:3">
      <c r="B830"/>
      <c r="C830"/>
    </row>
    <row r="831" spans="2:3">
      <c r="B831"/>
      <c r="C831"/>
    </row>
    <row r="832" spans="2:3">
      <c r="B832"/>
      <c r="C832"/>
    </row>
    <row r="833" spans="2:3">
      <c r="B833"/>
      <c r="C833"/>
    </row>
    <row r="834" spans="2:3">
      <c r="B834"/>
      <c r="C834"/>
    </row>
    <row r="835" spans="2:3">
      <c r="B835"/>
      <c r="C835"/>
    </row>
    <row r="836" spans="2:3">
      <c r="B836"/>
      <c r="C836"/>
    </row>
    <row r="837" spans="2:3">
      <c r="B837"/>
      <c r="C837"/>
    </row>
    <row r="838" spans="2:3">
      <c r="B838"/>
      <c r="C838"/>
    </row>
    <row r="839" spans="2:3">
      <c r="B839"/>
      <c r="C839"/>
    </row>
    <row r="840" spans="2:3">
      <c r="B840"/>
      <c r="C840"/>
    </row>
    <row r="841" spans="2:3">
      <c r="B841"/>
      <c r="C841"/>
    </row>
    <row r="842" spans="2:3">
      <c r="B842"/>
      <c r="C842"/>
    </row>
    <row r="843" spans="2:3">
      <c r="B843"/>
      <c r="C843"/>
    </row>
    <row r="844" spans="2:3">
      <c r="B844"/>
      <c r="C844"/>
    </row>
    <row r="845" spans="2:3">
      <c r="B845"/>
      <c r="C845"/>
    </row>
    <row r="846" spans="2:3">
      <c r="B846"/>
      <c r="C846"/>
    </row>
    <row r="847" spans="2:3">
      <c r="B847"/>
      <c r="C847"/>
    </row>
    <row r="848" spans="2:3">
      <c r="B848"/>
      <c r="C848"/>
    </row>
    <row r="849" spans="2:3">
      <c r="B849"/>
      <c r="C849"/>
    </row>
    <row r="850" spans="2:3">
      <c r="B850"/>
      <c r="C850"/>
    </row>
    <row r="851" spans="2:3">
      <c r="B851"/>
      <c r="C851"/>
    </row>
    <row r="852" spans="2:3">
      <c r="B852"/>
      <c r="C852"/>
    </row>
    <row r="853" spans="2:3">
      <c r="B853"/>
      <c r="C853"/>
    </row>
    <row r="854" spans="2:3">
      <c r="B854"/>
      <c r="C854"/>
    </row>
    <row r="855" spans="2:3">
      <c r="B855"/>
      <c r="C855"/>
    </row>
    <row r="856" spans="2:3">
      <c r="B856"/>
      <c r="C856"/>
    </row>
    <row r="857" spans="2:3">
      <c r="B857"/>
      <c r="C857"/>
    </row>
    <row r="858" spans="2:3">
      <c r="B858"/>
      <c r="C858"/>
    </row>
    <row r="859" spans="2:3">
      <c r="B859"/>
      <c r="C859"/>
    </row>
    <row r="860" spans="2:3">
      <c r="B860"/>
      <c r="C860"/>
    </row>
    <row r="861" spans="2:3">
      <c r="B861"/>
      <c r="C861"/>
    </row>
    <row r="862" spans="2:3">
      <c r="B862"/>
      <c r="C862"/>
    </row>
    <row r="863" spans="2:3">
      <c r="B863"/>
      <c r="C863"/>
    </row>
    <row r="864" spans="2:3">
      <c r="B864"/>
      <c r="C864"/>
    </row>
    <row r="865" spans="2:3">
      <c r="B865"/>
      <c r="C865"/>
    </row>
    <row r="866" spans="2:3">
      <c r="B866"/>
      <c r="C866"/>
    </row>
    <row r="867" spans="2:3">
      <c r="B867"/>
      <c r="C867"/>
    </row>
    <row r="868" spans="2:3">
      <c r="B868"/>
      <c r="C868"/>
    </row>
    <row r="869" spans="2:3">
      <c r="B869"/>
      <c r="C869"/>
    </row>
    <row r="870" spans="2:3">
      <c r="B870"/>
      <c r="C870"/>
    </row>
    <row r="871" spans="2:3">
      <c r="B871"/>
      <c r="C871"/>
    </row>
    <row r="872" spans="2:3">
      <c r="B872"/>
      <c r="C872"/>
    </row>
    <row r="873" spans="2:3">
      <c r="B873"/>
      <c r="C873"/>
    </row>
    <row r="874" spans="2:3">
      <c r="B874"/>
      <c r="C874"/>
    </row>
    <row r="875" spans="2:3">
      <c r="B875"/>
      <c r="C875"/>
    </row>
    <row r="876" spans="2:3">
      <c r="B876"/>
      <c r="C876"/>
    </row>
    <row r="877" spans="2:3">
      <c r="B877"/>
      <c r="C877"/>
    </row>
    <row r="878" spans="2:3">
      <c r="B878"/>
      <c r="C878"/>
    </row>
    <row r="879" spans="2:3">
      <c r="B879"/>
      <c r="C879"/>
    </row>
    <row r="880" spans="2:3">
      <c r="B880"/>
      <c r="C880"/>
    </row>
    <row r="881" spans="2:3">
      <c r="B881"/>
      <c r="C881"/>
    </row>
    <row r="882" spans="2:3">
      <c r="B882"/>
      <c r="C882"/>
    </row>
    <row r="883" spans="2:3">
      <c r="B883"/>
      <c r="C883"/>
    </row>
    <row r="884" spans="2:3">
      <c r="B884"/>
      <c r="C884"/>
    </row>
    <row r="885" spans="2:3">
      <c r="B885"/>
      <c r="C885"/>
    </row>
    <row r="886" spans="2:3">
      <c r="B886"/>
      <c r="C886"/>
    </row>
    <row r="887" spans="2:3">
      <c r="B887"/>
      <c r="C887"/>
    </row>
    <row r="888" spans="2:3">
      <c r="B888"/>
      <c r="C888"/>
    </row>
    <row r="889" spans="2:3">
      <c r="B889"/>
      <c r="C889"/>
    </row>
    <row r="890" spans="2:3">
      <c r="B890"/>
      <c r="C890"/>
    </row>
    <row r="891" spans="2:3">
      <c r="B891"/>
      <c r="C891"/>
    </row>
    <row r="892" spans="2:3">
      <c r="B892"/>
      <c r="C892"/>
    </row>
    <row r="893" spans="2:3">
      <c r="B893"/>
      <c r="C893"/>
    </row>
    <row r="894" spans="2:3">
      <c r="B894"/>
      <c r="C894"/>
    </row>
    <row r="895" spans="2:3">
      <c r="B895"/>
      <c r="C895"/>
    </row>
    <row r="896" spans="2:3">
      <c r="B896"/>
      <c r="C896"/>
    </row>
    <row r="897" spans="2:3">
      <c r="B897"/>
      <c r="C897"/>
    </row>
    <row r="898" spans="2:3">
      <c r="B898"/>
      <c r="C898"/>
    </row>
    <row r="899" spans="2:3">
      <c r="B899"/>
      <c r="C899"/>
    </row>
    <row r="900" spans="2:3">
      <c r="B900"/>
      <c r="C900"/>
    </row>
    <row r="901" spans="2:3">
      <c r="B901"/>
      <c r="C901"/>
    </row>
    <row r="902" spans="2:3">
      <c r="B902"/>
      <c r="C902"/>
    </row>
    <row r="903" spans="2:3">
      <c r="B903"/>
      <c r="C903"/>
    </row>
    <row r="904" spans="2:3">
      <c r="B904"/>
      <c r="C904"/>
    </row>
    <row r="905" spans="2:3">
      <c r="B905"/>
      <c r="C905"/>
    </row>
    <row r="906" spans="2:3">
      <c r="B906"/>
      <c r="C906"/>
    </row>
    <row r="907" spans="2:3">
      <c r="B907"/>
      <c r="C907"/>
    </row>
    <row r="908" spans="2:3">
      <c r="B908"/>
      <c r="C908"/>
    </row>
    <row r="909" spans="2:3">
      <c r="B909"/>
      <c r="C909"/>
    </row>
    <row r="910" spans="2:3">
      <c r="B910"/>
      <c r="C910"/>
    </row>
    <row r="911" spans="2:3">
      <c r="B911"/>
      <c r="C911"/>
    </row>
    <row r="912" spans="2:3">
      <c r="B912"/>
      <c r="C912"/>
    </row>
    <row r="913" spans="2:3">
      <c r="B913"/>
      <c r="C913"/>
    </row>
    <row r="914" spans="2:3">
      <c r="B914"/>
      <c r="C914"/>
    </row>
    <row r="915" spans="2:3">
      <c r="B915"/>
      <c r="C915"/>
    </row>
    <row r="916" spans="2:3">
      <c r="B916"/>
      <c r="C916"/>
    </row>
    <row r="917" spans="2:3">
      <c r="B917"/>
      <c r="C917"/>
    </row>
    <row r="918" spans="2:3">
      <c r="B918"/>
      <c r="C918"/>
    </row>
    <row r="919" spans="2:3">
      <c r="B919"/>
      <c r="C919"/>
    </row>
    <row r="920" spans="2:3">
      <c r="B920"/>
      <c r="C920"/>
    </row>
    <row r="921" spans="2:3">
      <c r="B921"/>
      <c r="C921"/>
    </row>
    <row r="922" spans="2:3">
      <c r="B922"/>
      <c r="C922"/>
    </row>
    <row r="923" spans="2:3">
      <c r="B923"/>
      <c r="C923"/>
    </row>
    <row r="924" spans="2:3">
      <c r="B924"/>
      <c r="C924"/>
    </row>
    <row r="925" spans="2:3">
      <c r="B925"/>
      <c r="C925"/>
    </row>
    <row r="926" spans="2:3">
      <c r="B926"/>
      <c r="C926"/>
    </row>
    <row r="927" spans="2:3">
      <c r="B927"/>
      <c r="C927"/>
    </row>
    <row r="928" spans="2:3">
      <c r="B928"/>
      <c r="C928"/>
    </row>
    <row r="929" spans="2:3">
      <c r="B929"/>
      <c r="C929"/>
    </row>
    <row r="930" spans="2:3">
      <c r="B930"/>
      <c r="C930"/>
    </row>
    <row r="931" spans="2:3">
      <c r="B931"/>
      <c r="C931"/>
    </row>
    <row r="932" spans="2:3">
      <c r="B932"/>
      <c r="C932"/>
    </row>
    <row r="933" spans="2:3">
      <c r="B933"/>
      <c r="C933"/>
    </row>
    <row r="934" spans="2:3">
      <c r="B934"/>
      <c r="C934"/>
    </row>
    <row r="935" spans="2:3">
      <c r="B935"/>
      <c r="C935"/>
    </row>
    <row r="936" spans="2:3">
      <c r="B936"/>
      <c r="C936"/>
    </row>
    <row r="937" spans="2:3">
      <c r="B937"/>
      <c r="C937"/>
    </row>
    <row r="938" spans="2:3">
      <c r="B938"/>
      <c r="C938"/>
    </row>
    <row r="939" spans="2:3">
      <c r="B939"/>
      <c r="C939"/>
    </row>
    <row r="940" spans="2:3">
      <c r="B940"/>
      <c r="C940"/>
    </row>
    <row r="941" spans="2:3">
      <c r="B941"/>
      <c r="C941"/>
    </row>
    <row r="942" spans="2:3">
      <c r="B942"/>
      <c r="C942"/>
    </row>
    <row r="943" spans="2:3">
      <c r="B943"/>
      <c r="C943"/>
    </row>
    <row r="944" spans="2:3">
      <c r="B944"/>
      <c r="C944"/>
    </row>
    <row r="945" spans="2:3">
      <c r="B945"/>
      <c r="C945"/>
    </row>
    <row r="946" spans="2:3">
      <c r="B946"/>
      <c r="C946"/>
    </row>
    <row r="947" spans="2:3">
      <c r="B947"/>
      <c r="C947"/>
    </row>
    <row r="948" spans="2:3">
      <c r="B948"/>
      <c r="C948"/>
    </row>
    <row r="949" spans="2:3">
      <c r="B949"/>
      <c r="C949"/>
    </row>
    <row r="950" spans="2:3">
      <c r="B950"/>
      <c r="C950"/>
    </row>
    <row r="951" spans="2:3">
      <c r="B951"/>
      <c r="C951"/>
    </row>
    <row r="952" spans="2:3">
      <c r="B952"/>
      <c r="C952"/>
    </row>
    <row r="953" spans="2:3">
      <c r="B953"/>
      <c r="C953"/>
    </row>
    <row r="954" spans="2:3">
      <c r="B954"/>
      <c r="C954"/>
    </row>
    <row r="955" spans="2:3">
      <c r="B955"/>
      <c r="C955"/>
    </row>
    <row r="956" spans="2:3">
      <c r="B956"/>
      <c r="C956"/>
    </row>
    <row r="957" spans="2:3">
      <c r="B957"/>
      <c r="C957"/>
    </row>
    <row r="958" spans="2:3">
      <c r="B958"/>
      <c r="C958"/>
    </row>
    <row r="959" spans="2:3">
      <c r="B959"/>
      <c r="C959"/>
    </row>
    <row r="960" spans="2:3">
      <c r="B960"/>
      <c r="C960"/>
    </row>
    <row r="961" spans="2:3">
      <c r="B961"/>
      <c r="C961"/>
    </row>
    <row r="962" spans="2:3">
      <c r="B962"/>
      <c r="C962"/>
    </row>
    <row r="963" spans="2:3">
      <c r="B963"/>
      <c r="C963"/>
    </row>
    <row r="964" spans="2:3">
      <c r="B964"/>
      <c r="C964"/>
    </row>
    <row r="965" spans="2:3">
      <c r="B965"/>
      <c r="C965"/>
    </row>
    <row r="966" spans="2:3">
      <c r="B966"/>
      <c r="C966"/>
    </row>
    <row r="967" spans="2:3">
      <c r="B967"/>
      <c r="C967"/>
    </row>
    <row r="968" spans="2:3">
      <c r="B968"/>
      <c r="C968"/>
    </row>
    <row r="969" spans="2:3">
      <c r="B969"/>
      <c r="C969"/>
    </row>
    <row r="970" spans="2:3">
      <c r="B970"/>
      <c r="C970"/>
    </row>
    <row r="971" spans="2:3">
      <c r="B971"/>
      <c r="C971"/>
    </row>
    <row r="972" spans="2:3">
      <c r="B972"/>
      <c r="C972"/>
    </row>
    <row r="973" spans="2:3">
      <c r="B973"/>
      <c r="C973"/>
    </row>
    <row r="974" spans="2:3">
      <c r="B974"/>
      <c r="C974"/>
    </row>
    <row r="975" spans="2:3">
      <c r="B975"/>
      <c r="C975"/>
    </row>
    <row r="976" spans="2:3">
      <c r="B976"/>
      <c r="C976"/>
    </row>
    <row r="977" spans="2:3">
      <c r="B977"/>
      <c r="C977"/>
    </row>
    <row r="978" spans="2:3">
      <c r="B978"/>
      <c r="C978"/>
    </row>
    <row r="979" spans="2:3">
      <c r="B979"/>
      <c r="C979"/>
    </row>
    <row r="980" spans="2:3">
      <c r="B980"/>
      <c r="C980"/>
    </row>
    <row r="981" spans="2:3">
      <c r="B981"/>
      <c r="C981"/>
    </row>
    <row r="982" spans="2:3">
      <c r="B982"/>
      <c r="C982"/>
    </row>
    <row r="983" spans="2:3">
      <c r="B983"/>
      <c r="C983"/>
    </row>
    <row r="984" spans="2:3">
      <c r="B984"/>
      <c r="C984"/>
    </row>
    <row r="985" spans="2:3">
      <c r="B985"/>
      <c r="C985"/>
    </row>
    <row r="986" spans="2:3">
      <c r="B986"/>
      <c r="C986"/>
    </row>
    <row r="987" spans="2:3">
      <c r="B987"/>
      <c r="C987"/>
    </row>
    <row r="988" spans="2:3">
      <c r="B988"/>
      <c r="C988"/>
    </row>
    <row r="989" spans="2:3">
      <c r="B989"/>
      <c r="C989"/>
    </row>
    <row r="990" spans="2:3">
      <c r="B990"/>
      <c r="C990"/>
    </row>
    <row r="991" spans="2:3">
      <c r="B991"/>
      <c r="C991"/>
    </row>
    <row r="992" spans="2:3">
      <c r="B992"/>
      <c r="C992"/>
    </row>
    <row r="993" spans="2:3">
      <c r="B993"/>
      <c r="C993"/>
    </row>
    <row r="994" spans="2:3">
      <c r="B994"/>
      <c r="C994"/>
    </row>
    <row r="995" spans="2:3">
      <c r="B995"/>
      <c r="C995"/>
    </row>
    <row r="996" spans="2:3">
      <c r="B996"/>
      <c r="C996"/>
    </row>
    <row r="997" spans="2:3">
      <c r="B997"/>
      <c r="C997"/>
    </row>
    <row r="998" spans="2:3">
      <c r="B998"/>
      <c r="C998"/>
    </row>
    <row r="999" spans="2:3">
      <c r="B999"/>
      <c r="C999"/>
    </row>
    <row r="1000" spans="2:3">
      <c r="B1000"/>
      <c r="C1000"/>
    </row>
    <row r="1001" spans="2:3">
      <c r="B1001"/>
      <c r="C1001"/>
    </row>
    <row r="1002" spans="2:3">
      <c r="B1002"/>
      <c r="C1002"/>
    </row>
    <row r="1003" spans="2:3">
      <c r="B1003"/>
      <c r="C1003"/>
    </row>
    <row r="1004" spans="2:3">
      <c r="B1004"/>
      <c r="C1004"/>
    </row>
    <row r="1005" spans="2:3">
      <c r="B1005"/>
      <c r="C1005"/>
    </row>
    <row r="1006" spans="2:3">
      <c r="B1006"/>
      <c r="C1006"/>
    </row>
    <row r="1007" spans="2:3">
      <c r="B1007"/>
      <c r="C1007"/>
    </row>
    <row r="1008" spans="2:3">
      <c r="B1008"/>
      <c r="C1008"/>
    </row>
    <row r="1009" spans="2:3">
      <c r="B1009"/>
      <c r="C1009"/>
    </row>
    <row r="1010" spans="2:3">
      <c r="B1010"/>
      <c r="C1010"/>
    </row>
    <row r="1011" spans="2:3">
      <c r="B1011"/>
      <c r="C1011"/>
    </row>
    <row r="1012" spans="2:3">
      <c r="B1012"/>
      <c r="C1012"/>
    </row>
    <row r="1013" spans="2:3">
      <c r="B1013"/>
      <c r="C1013"/>
    </row>
    <row r="1014" spans="2:3">
      <c r="B1014"/>
      <c r="C1014"/>
    </row>
    <row r="1015" spans="2:3">
      <c r="B1015"/>
      <c r="C1015"/>
    </row>
    <row r="1016" spans="2:3">
      <c r="B1016"/>
      <c r="C1016"/>
    </row>
    <row r="1017" spans="2:3">
      <c r="B1017"/>
      <c r="C1017"/>
    </row>
    <row r="1018" spans="2:3">
      <c r="B1018"/>
      <c r="C1018"/>
    </row>
    <row r="1019" spans="2:3">
      <c r="B1019"/>
      <c r="C1019"/>
    </row>
    <row r="1020" spans="2:3">
      <c r="B1020"/>
      <c r="C1020"/>
    </row>
    <row r="1021" spans="2:3">
      <c r="B1021"/>
      <c r="C1021"/>
    </row>
    <row r="1022" spans="2:3">
      <c r="B1022"/>
      <c r="C1022"/>
    </row>
    <row r="1023" spans="2:3">
      <c r="B1023"/>
      <c r="C1023"/>
    </row>
    <row r="1024" spans="2:3">
      <c r="B1024"/>
      <c r="C1024"/>
    </row>
    <row r="1025" spans="2:3">
      <c r="B1025"/>
      <c r="C1025"/>
    </row>
    <row r="1026" spans="2:3">
      <c r="B1026"/>
      <c r="C1026"/>
    </row>
    <row r="1027" spans="2:3">
      <c r="B1027"/>
      <c r="C1027"/>
    </row>
    <row r="1028" spans="2:3">
      <c r="B1028"/>
      <c r="C1028"/>
    </row>
    <row r="1029" spans="2:3">
      <c r="B1029"/>
      <c r="C1029"/>
    </row>
    <row r="1030" spans="2:3">
      <c r="B1030"/>
      <c r="C1030"/>
    </row>
    <row r="1031" spans="2:3">
      <c r="B1031"/>
      <c r="C1031"/>
    </row>
    <row r="1032" spans="2:3">
      <c r="B1032"/>
      <c r="C1032"/>
    </row>
    <row r="1033" spans="2:3">
      <c r="B1033"/>
      <c r="C1033"/>
    </row>
    <row r="1034" spans="2:3">
      <c r="B1034"/>
      <c r="C1034"/>
    </row>
    <row r="1035" spans="2:3">
      <c r="B1035"/>
      <c r="C1035"/>
    </row>
    <row r="1036" spans="2:3">
      <c r="B1036"/>
      <c r="C1036"/>
    </row>
    <row r="1037" spans="2:3">
      <c r="B1037"/>
      <c r="C1037"/>
    </row>
    <row r="1038" spans="2:3">
      <c r="B1038"/>
      <c r="C1038"/>
    </row>
    <row r="1039" spans="2:3">
      <c r="B1039"/>
      <c r="C1039"/>
    </row>
    <row r="1040" spans="2:3">
      <c r="B1040"/>
      <c r="C1040"/>
    </row>
    <row r="1041" spans="2:3">
      <c r="B1041"/>
      <c r="C1041"/>
    </row>
    <row r="1042" spans="2:3">
      <c r="B1042"/>
      <c r="C1042"/>
    </row>
    <row r="1043" spans="2:3">
      <c r="B1043"/>
      <c r="C1043"/>
    </row>
    <row r="1044" spans="2:3">
      <c r="B1044"/>
      <c r="C1044"/>
    </row>
    <row r="1045" spans="2:3">
      <c r="B1045"/>
      <c r="C1045"/>
    </row>
    <row r="1046" spans="2:3">
      <c r="B1046"/>
      <c r="C1046"/>
    </row>
    <row r="1047" spans="2:3">
      <c r="B1047"/>
      <c r="C1047"/>
    </row>
    <row r="1048" spans="2:3">
      <c r="B1048"/>
      <c r="C1048"/>
    </row>
    <row r="1049" spans="2:3">
      <c r="B1049"/>
      <c r="C1049"/>
    </row>
    <row r="1050" spans="2:3">
      <c r="B1050"/>
      <c r="C1050"/>
    </row>
    <row r="1051" spans="2:3">
      <c r="B1051"/>
      <c r="C1051"/>
    </row>
    <row r="1052" spans="2:3">
      <c r="B1052"/>
      <c r="C1052"/>
    </row>
    <row r="1053" spans="2:3">
      <c r="B1053"/>
      <c r="C1053"/>
    </row>
    <row r="1054" spans="2:3">
      <c r="B1054"/>
      <c r="C1054"/>
    </row>
    <row r="1055" spans="2:3">
      <c r="B1055"/>
      <c r="C1055"/>
    </row>
    <row r="1056" spans="2:3">
      <c r="B1056"/>
      <c r="C1056"/>
    </row>
    <row r="1057" spans="2:3">
      <c r="B1057"/>
      <c r="C1057"/>
    </row>
    <row r="1058" spans="2:3">
      <c r="B1058"/>
      <c r="C1058"/>
    </row>
    <row r="1059" spans="2:3">
      <c r="B1059"/>
      <c r="C1059"/>
    </row>
    <row r="1060" spans="2:3">
      <c r="B1060"/>
      <c r="C1060"/>
    </row>
    <row r="1061" spans="2:3">
      <c r="B1061"/>
      <c r="C1061"/>
    </row>
    <row r="1062" spans="2:3">
      <c r="B1062"/>
      <c r="C1062"/>
    </row>
    <row r="1063" spans="2:3">
      <c r="B1063"/>
      <c r="C1063"/>
    </row>
    <row r="1064" spans="2:3">
      <c r="B1064"/>
      <c r="C1064"/>
    </row>
    <row r="1065" spans="2:3">
      <c r="B1065"/>
      <c r="C1065"/>
    </row>
    <row r="1066" spans="2:3">
      <c r="B1066"/>
      <c r="C1066"/>
    </row>
    <row r="1067" spans="2:3">
      <c r="B1067"/>
      <c r="C1067"/>
    </row>
    <row r="1068" spans="2:3">
      <c r="B1068"/>
      <c r="C1068"/>
    </row>
    <row r="1069" spans="2:3">
      <c r="B1069"/>
      <c r="C1069"/>
    </row>
    <row r="1070" spans="2:3">
      <c r="B1070"/>
      <c r="C1070"/>
    </row>
    <row r="1071" spans="2:3">
      <c r="B1071"/>
      <c r="C1071"/>
    </row>
    <row r="1072" spans="2:3">
      <c r="B1072"/>
      <c r="C1072"/>
    </row>
    <row r="1073" spans="2:3">
      <c r="B1073"/>
      <c r="C1073"/>
    </row>
    <row r="1074" spans="2:3">
      <c r="B1074"/>
      <c r="C1074"/>
    </row>
    <row r="1075" spans="2:3">
      <c r="B1075"/>
      <c r="C1075"/>
    </row>
    <row r="1076" spans="2:3">
      <c r="B1076"/>
      <c r="C1076"/>
    </row>
    <row r="1077" spans="2:3">
      <c r="B1077"/>
      <c r="C1077"/>
    </row>
    <row r="1078" spans="2:3">
      <c r="B1078"/>
      <c r="C1078"/>
    </row>
    <row r="1079" spans="2:3">
      <c r="B1079"/>
      <c r="C1079"/>
    </row>
    <row r="1080" spans="2:3">
      <c r="B1080"/>
      <c r="C1080"/>
    </row>
    <row r="1081" spans="2:3">
      <c r="B1081"/>
      <c r="C1081"/>
    </row>
    <row r="1082" spans="2:3">
      <c r="B1082"/>
      <c r="C1082"/>
    </row>
    <row r="1083" spans="2:3">
      <c r="B1083"/>
      <c r="C1083"/>
    </row>
    <row r="1084" spans="2:3">
      <c r="B1084"/>
      <c r="C1084"/>
    </row>
    <row r="1085" spans="2:3">
      <c r="B1085"/>
      <c r="C1085"/>
    </row>
    <row r="1086" spans="2:3">
      <c r="B1086"/>
      <c r="C1086"/>
    </row>
    <row r="1087" spans="2:3">
      <c r="B1087"/>
      <c r="C1087"/>
    </row>
    <row r="1088" spans="2:3">
      <c r="B1088"/>
      <c r="C1088"/>
    </row>
    <row r="1089" spans="2:3">
      <c r="B1089"/>
      <c r="C1089"/>
    </row>
    <row r="1090" spans="2:3">
      <c r="B1090"/>
      <c r="C1090"/>
    </row>
    <row r="1091" spans="2:3">
      <c r="B1091"/>
      <c r="C1091"/>
    </row>
    <row r="1092" spans="2:3">
      <c r="B1092"/>
      <c r="C1092"/>
    </row>
    <row r="1093" spans="2:3">
      <c r="B1093"/>
      <c r="C1093"/>
    </row>
    <row r="1094" spans="2:3">
      <c r="B1094"/>
      <c r="C1094"/>
    </row>
    <row r="1095" spans="2:3">
      <c r="B1095"/>
      <c r="C1095"/>
    </row>
    <row r="1096" spans="2:3">
      <c r="B1096"/>
      <c r="C1096"/>
    </row>
    <row r="1097" spans="2:3">
      <c r="B1097"/>
      <c r="C1097"/>
    </row>
    <row r="1098" spans="2:3">
      <c r="B1098"/>
      <c r="C1098"/>
    </row>
    <row r="1099" spans="2:3">
      <c r="B1099"/>
      <c r="C1099"/>
    </row>
    <row r="1100" spans="2:3">
      <c r="B1100"/>
      <c r="C1100"/>
    </row>
    <row r="1101" spans="2:3">
      <c r="B1101"/>
      <c r="C1101"/>
    </row>
    <row r="1102" spans="2:3">
      <c r="B1102"/>
      <c r="C1102"/>
    </row>
    <row r="1103" spans="2:3">
      <c r="B1103"/>
      <c r="C1103"/>
    </row>
    <row r="1104" spans="2:3">
      <c r="B1104"/>
      <c r="C1104"/>
    </row>
    <row r="1105" spans="2:3">
      <c r="B1105"/>
      <c r="C1105"/>
    </row>
    <row r="1106" spans="2:3">
      <c r="B1106"/>
      <c r="C1106"/>
    </row>
    <row r="1107" spans="2:3">
      <c r="B1107"/>
      <c r="C1107"/>
    </row>
    <row r="1108" spans="2:3">
      <c r="B1108"/>
      <c r="C1108"/>
    </row>
    <row r="1109" spans="2:3">
      <c r="B1109"/>
      <c r="C1109"/>
    </row>
    <row r="1110" spans="2:3">
      <c r="B1110"/>
      <c r="C1110"/>
    </row>
    <row r="1111" spans="2:3">
      <c r="B1111"/>
      <c r="C1111"/>
    </row>
    <row r="1112" spans="2:3">
      <c r="B1112"/>
      <c r="C1112"/>
    </row>
    <row r="1113" spans="2:3">
      <c r="B1113"/>
      <c r="C1113"/>
    </row>
    <row r="1114" spans="2:3">
      <c r="B1114"/>
      <c r="C1114"/>
    </row>
    <row r="1115" spans="2:3">
      <c r="B1115"/>
      <c r="C1115"/>
    </row>
    <row r="1116" spans="2:3">
      <c r="B1116"/>
      <c r="C1116"/>
    </row>
    <row r="1117" spans="2:3">
      <c r="B1117"/>
      <c r="C1117"/>
    </row>
    <row r="1118" spans="2:3">
      <c r="B1118"/>
      <c r="C1118"/>
    </row>
    <row r="1119" spans="2:3">
      <c r="B1119"/>
      <c r="C1119"/>
    </row>
    <row r="1120" spans="2:3">
      <c r="B1120"/>
      <c r="C1120"/>
    </row>
    <row r="1121" spans="2:3">
      <c r="B1121"/>
      <c r="C1121"/>
    </row>
    <row r="1122" spans="2:3">
      <c r="B1122"/>
      <c r="C1122"/>
    </row>
    <row r="1123" spans="2:3">
      <c r="B1123"/>
      <c r="C1123"/>
    </row>
    <row r="1124" spans="2:3">
      <c r="B1124"/>
      <c r="C1124"/>
    </row>
    <row r="1125" spans="2:3">
      <c r="B1125"/>
      <c r="C1125"/>
    </row>
    <row r="1126" spans="2:3">
      <c r="B1126"/>
      <c r="C1126"/>
    </row>
    <row r="1127" spans="2:3">
      <c r="B1127"/>
      <c r="C1127"/>
    </row>
    <row r="1128" spans="2:3">
      <c r="B1128"/>
      <c r="C1128"/>
    </row>
    <row r="1129" spans="2:3">
      <c r="B1129"/>
      <c r="C1129"/>
    </row>
    <row r="1130" spans="2:3">
      <c r="B1130"/>
      <c r="C1130"/>
    </row>
    <row r="1131" spans="2:3">
      <c r="B1131"/>
      <c r="C1131"/>
    </row>
    <row r="1132" spans="2:3">
      <c r="B1132"/>
      <c r="C1132"/>
    </row>
    <row r="1133" spans="2:3">
      <c r="B1133"/>
      <c r="C1133"/>
    </row>
    <row r="1134" spans="2:3">
      <c r="B1134"/>
      <c r="C1134"/>
    </row>
    <row r="1135" spans="2:3">
      <c r="B1135"/>
      <c r="C1135"/>
    </row>
    <row r="1136" spans="2:3">
      <c r="B1136"/>
      <c r="C1136"/>
    </row>
    <row r="1137" spans="2:3">
      <c r="B1137"/>
      <c r="C1137"/>
    </row>
    <row r="1138" spans="2:3">
      <c r="B1138"/>
      <c r="C1138"/>
    </row>
    <row r="1139" spans="2:3">
      <c r="B1139"/>
      <c r="C1139"/>
    </row>
    <row r="1140" spans="2:3">
      <c r="B1140"/>
      <c r="C1140"/>
    </row>
    <row r="1141" spans="2:3">
      <c r="B1141"/>
      <c r="C1141"/>
    </row>
    <row r="1142" spans="2:3">
      <c r="B1142"/>
      <c r="C1142"/>
    </row>
    <row r="1143" spans="2:3">
      <c r="B1143"/>
      <c r="C1143"/>
    </row>
    <row r="1144" spans="2:3">
      <c r="B1144"/>
      <c r="C1144"/>
    </row>
    <row r="1145" spans="2:3">
      <c r="B1145"/>
      <c r="C1145"/>
    </row>
    <row r="1146" spans="2:3">
      <c r="B1146"/>
      <c r="C1146"/>
    </row>
    <row r="1147" spans="2:3">
      <c r="B1147"/>
      <c r="C1147"/>
    </row>
    <row r="1148" spans="2:3">
      <c r="B1148"/>
      <c r="C1148"/>
    </row>
    <row r="1149" spans="2:3">
      <c r="B1149"/>
      <c r="C1149"/>
    </row>
    <row r="1150" spans="2:3">
      <c r="B1150"/>
      <c r="C1150"/>
    </row>
    <row r="1151" spans="2:3">
      <c r="B1151"/>
      <c r="C1151"/>
    </row>
    <row r="1152" spans="2:3">
      <c r="B1152"/>
      <c r="C1152"/>
    </row>
    <row r="1153" spans="2:3">
      <c r="B1153"/>
      <c r="C1153"/>
    </row>
    <row r="1154" spans="2:3">
      <c r="B1154"/>
      <c r="C1154"/>
    </row>
    <row r="1155" spans="2:3">
      <c r="B1155"/>
      <c r="C1155"/>
    </row>
    <row r="1156" spans="2:3">
      <c r="B1156"/>
      <c r="C1156"/>
    </row>
    <row r="1157" spans="2:3">
      <c r="B1157"/>
      <c r="C1157"/>
    </row>
    <row r="1158" spans="2:3">
      <c r="B1158"/>
      <c r="C1158"/>
    </row>
    <row r="1159" spans="2:3">
      <c r="B1159"/>
      <c r="C1159"/>
    </row>
    <row r="1160" spans="2:3">
      <c r="B1160"/>
      <c r="C1160"/>
    </row>
    <row r="1161" spans="2:3">
      <c r="B1161"/>
      <c r="C1161"/>
    </row>
    <row r="1162" spans="2:3">
      <c r="B1162"/>
      <c r="C1162"/>
    </row>
    <row r="1163" spans="2:3">
      <c r="B1163"/>
      <c r="C1163"/>
    </row>
    <row r="1164" spans="2:3">
      <c r="B1164"/>
      <c r="C1164"/>
    </row>
    <row r="1165" spans="2:3">
      <c r="B1165"/>
      <c r="C1165"/>
    </row>
    <row r="1166" spans="2:3">
      <c r="B1166"/>
      <c r="C1166"/>
    </row>
    <row r="1167" spans="2:3">
      <c r="B1167"/>
      <c r="C1167"/>
    </row>
    <row r="1168" spans="2:3">
      <c r="B1168"/>
      <c r="C1168"/>
    </row>
    <row r="1169" spans="2:3">
      <c r="B1169"/>
      <c r="C1169"/>
    </row>
    <row r="1170" spans="2:3">
      <c r="B1170"/>
      <c r="C1170"/>
    </row>
    <row r="1171" spans="2:3">
      <c r="B1171"/>
      <c r="C1171"/>
    </row>
    <row r="1172" spans="2:3">
      <c r="B1172"/>
      <c r="C1172"/>
    </row>
    <row r="1173" spans="2:3">
      <c r="B1173"/>
      <c r="C1173"/>
    </row>
    <row r="1174" spans="2:3">
      <c r="B1174"/>
      <c r="C1174"/>
    </row>
    <row r="1175" spans="2:3">
      <c r="B1175"/>
      <c r="C1175"/>
    </row>
    <row r="1176" spans="2:3">
      <c r="B1176"/>
      <c r="C1176"/>
    </row>
    <row r="1177" spans="2:3">
      <c r="B1177"/>
      <c r="C1177"/>
    </row>
    <row r="1178" spans="2:3">
      <c r="B1178"/>
      <c r="C1178"/>
    </row>
    <row r="1179" spans="2:3">
      <c r="B1179"/>
      <c r="C1179"/>
    </row>
    <row r="1180" spans="2:3">
      <c r="B1180"/>
      <c r="C1180"/>
    </row>
    <row r="1181" spans="2:3">
      <c r="B1181"/>
      <c r="C1181"/>
    </row>
    <row r="1182" spans="2:3">
      <c r="B1182"/>
      <c r="C1182"/>
    </row>
    <row r="1183" spans="2:3">
      <c r="B1183"/>
      <c r="C1183"/>
    </row>
    <row r="1184" spans="2:3">
      <c r="B1184"/>
      <c r="C1184"/>
    </row>
    <row r="1185" spans="2:3">
      <c r="B1185"/>
      <c r="C1185"/>
    </row>
    <row r="1186" spans="2:3">
      <c r="B1186"/>
      <c r="C1186"/>
    </row>
    <row r="1187" spans="2:3">
      <c r="B1187"/>
      <c r="C1187"/>
    </row>
    <row r="1188" spans="2:3">
      <c r="B1188"/>
      <c r="C1188"/>
    </row>
    <row r="1189" spans="2:3">
      <c r="B1189"/>
      <c r="C1189"/>
    </row>
    <row r="1190" spans="2:3">
      <c r="B1190"/>
      <c r="C1190"/>
    </row>
    <row r="1191" spans="2:3">
      <c r="B1191"/>
      <c r="C1191"/>
    </row>
    <row r="1192" spans="2:3">
      <c r="B1192"/>
      <c r="C1192"/>
    </row>
    <row r="1193" spans="2:3">
      <c r="B1193"/>
      <c r="C1193"/>
    </row>
    <row r="1194" spans="2:3">
      <c r="B1194"/>
      <c r="C1194"/>
    </row>
    <row r="1195" spans="2:3">
      <c r="B1195"/>
      <c r="C1195"/>
    </row>
    <row r="1196" spans="2:3">
      <c r="B1196"/>
      <c r="C1196"/>
    </row>
    <row r="1197" spans="2:3">
      <c r="B1197"/>
      <c r="C1197"/>
    </row>
    <row r="1198" spans="2:3">
      <c r="B1198"/>
      <c r="C1198"/>
    </row>
    <row r="1199" spans="2:3">
      <c r="B1199"/>
      <c r="C1199"/>
    </row>
    <row r="1200" spans="2:3">
      <c r="B1200"/>
      <c r="C1200"/>
    </row>
    <row r="1201" spans="2:3">
      <c r="B1201"/>
      <c r="C1201"/>
    </row>
    <row r="1202" spans="2:3">
      <c r="B1202"/>
      <c r="C1202"/>
    </row>
    <row r="1203" spans="2:3">
      <c r="B1203"/>
      <c r="C1203"/>
    </row>
    <row r="1204" spans="2:3">
      <c r="B1204"/>
      <c r="C1204"/>
    </row>
    <row r="1205" spans="2:3">
      <c r="B1205"/>
      <c r="C1205"/>
    </row>
    <row r="1206" spans="2:3">
      <c r="B1206"/>
      <c r="C1206"/>
    </row>
    <row r="1207" spans="2:3">
      <c r="B1207"/>
      <c r="C1207"/>
    </row>
    <row r="1208" spans="2:3">
      <c r="B1208"/>
      <c r="C1208"/>
    </row>
    <row r="1209" spans="2:3">
      <c r="B1209"/>
      <c r="C1209"/>
    </row>
    <row r="1210" spans="2:3">
      <c r="B1210"/>
      <c r="C1210"/>
    </row>
    <row r="1211" spans="2:3">
      <c r="B1211"/>
      <c r="C1211"/>
    </row>
    <row r="1212" spans="2:3">
      <c r="B1212"/>
      <c r="C1212"/>
    </row>
    <row r="1213" spans="2:3">
      <c r="B1213"/>
      <c r="C1213"/>
    </row>
    <row r="1214" spans="2:3">
      <c r="B1214"/>
      <c r="C1214"/>
    </row>
    <row r="1215" spans="2:3">
      <c r="B1215"/>
      <c r="C1215"/>
    </row>
    <row r="1216" spans="2:3">
      <c r="B1216"/>
      <c r="C1216"/>
    </row>
    <row r="1217" spans="2:3">
      <c r="B1217"/>
      <c r="C1217"/>
    </row>
    <row r="1218" spans="2:3">
      <c r="B1218"/>
      <c r="C1218"/>
    </row>
    <row r="1219" spans="2:3">
      <c r="B1219"/>
      <c r="C1219"/>
    </row>
    <row r="1220" spans="2:3">
      <c r="B1220"/>
      <c r="C1220"/>
    </row>
    <row r="1221" spans="2:3">
      <c r="B1221"/>
      <c r="C1221"/>
    </row>
    <row r="1222" spans="2:3">
      <c r="B1222"/>
      <c r="C1222"/>
    </row>
    <row r="1223" spans="2:3">
      <c r="B1223"/>
      <c r="C1223"/>
    </row>
    <row r="1224" spans="2:3">
      <c r="B1224"/>
      <c r="C1224"/>
    </row>
    <row r="1225" spans="2:3">
      <c r="B1225"/>
      <c r="C1225"/>
    </row>
    <row r="1226" spans="2:3">
      <c r="B1226"/>
      <c r="C1226"/>
    </row>
    <row r="1227" spans="2:3">
      <c r="B1227"/>
      <c r="C1227"/>
    </row>
    <row r="1228" spans="2:3">
      <c r="B1228"/>
      <c r="C1228"/>
    </row>
    <row r="1229" spans="2:3">
      <c r="B1229"/>
      <c r="C1229"/>
    </row>
    <row r="1230" spans="2:3">
      <c r="B1230"/>
      <c r="C1230"/>
    </row>
    <row r="1231" spans="2:3">
      <c r="B1231"/>
      <c r="C1231"/>
    </row>
    <row r="1232" spans="2:3">
      <c r="B1232"/>
      <c r="C1232"/>
    </row>
    <row r="1233" spans="2:3">
      <c r="B1233"/>
      <c r="C1233"/>
    </row>
    <row r="1234" spans="2:3">
      <c r="B1234"/>
      <c r="C1234"/>
    </row>
    <row r="1235" spans="2:3">
      <c r="B1235"/>
      <c r="C1235"/>
    </row>
    <row r="1236" spans="2:3">
      <c r="B1236"/>
      <c r="C1236"/>
    </row>
    <row r="1237" spans="2:3">
      <c r="B1237"/>
      <c r="C1237"/>
    </row>
    <row r="1238" spans="2:3">
      <c r="B1238"/>
      <c r="C1238"/>
    </row>
    <row r="1239" spans="2:3">
      <c r="B1239"/>
      <c r="C1239"/>
    </row>
    <row r="1240" spans="2:3">
      <c r="B1240"/>
      <c r="C1240"/>
    </row>
    <row r="1241" spans="2:3">
      <c r="B1241"/>
      <c r="C1241"/>
    </row>
    <row r="1242" spans="2:3">
      <c r="B1242"/>
      <c r="C1242"/>
    </row>
    <row r="1243" spans="2:3">
      <c r="B1243"/>
      <c r="C1243"/>
    </row>
    <row r="1244" spans="2:3">
      <c r="B1244"/>
      <c r="C1244"/>
    </row>
    <row r="1245" spans="2:3">
      <c r="B1245"/>
      <c r="C1245"/>
    </row>
    <row r="1246" spans="2:3">
      <c r="B1246"/>
      <c r="C1246"/>
    </row>
    <row r="1247" spans="2:3">
      <c r="B1247"/>
      <c r="C1247"/>
    </row>
    <row r="1248" spans="2:3">
      <c r="B1248"/>
      <c r="C1248"/>
    </row>
    <row r="1249" spans="2:3">
      <c r="B1249"/>
      <c r="C1249"/>
    </row>
    <row r="1250" spans="2:3">
      <c r="B1250"/>
      <c r="C1250"/>
    </row>
    <row r="1251" spans="2:3">
      <c r="B1251"/>
      <c r="C1251"/>
    </row>
    <row r="1252" spans="2:3">
      <c r="B1252"/>
      <c r="C1252"/>
    </row>
    <row r="1253" spans="2:3">
      <c r="B1253"/>
      <c r="C1253"/>
    </row>
    <row r="1254" spans="2:3">
      <c r="B1254"/>
      <c r="C1254"/>
    </row>
    <row r="1255" spans="2:3">
      <c r="B1255"/>
      <c r="C1255"/>
    </row>
    <row r="1256" spans="2:3">
      <c r="B1256"/>
      <c r="C1256"/>
    </row>
    <row r="1257" spans="2:3">
      <c r="B1257"/>
      <c r="C1257"/>
    </row>
    <row r="1258" spans="2:3">
      <c r="B1258"/>
      <c r="C1258"/>
    </row>
    <row r="1259" spans="2:3">
      <c r="B1259"/>
      <c r="C1259"/>
    </row>
    <row r="1260" spans="2:3">
      <c r="B1260"/>
      <c r="C1260"/>
    </row>
    <row r="1261" spans="2:3">
      <c r="B1261"/>
      <c r="C1261"/>
    </row>
    <row r="1262" spans="2:3">
      <c r="B1262"/>
      <c r="C1262"/>
    </row>
    <row r="1263" spans="2:3">
      <c r="B1263"/>
      <c r="C1263"/>
    </row>
    <row r="1264" spans="2:3">
      <c r="B1264"/>
      <c r="C1264"/>
    </row>
    <row r="1265" spans="2:3">
      <c r="B1265"/>
      <c r="C1265"/>
    </row>
    <row r="1266" spans="2:3">
      <c r="B1266"/>
      <c r="C1266"/>
    </row>
    <row r="1267" spans="2:3">
      <c r="B1267"/>
      <c r="C1267"/>
    </row>
    <row r="1268" spans="2:3">
      <c r="B1268"/>
      <c r="C1268"/>
    </row>
    <row r="1269" spans="2:3">
      <c r="B1269"/>
      <c r="C1269"/>
    </row>
    <row r="1270" spans="2:3">
      <c r="B1270"/>
      <c r="C1270"/>
    </row>
    <row r="1271" spans="2:3">
      <c r="B1271"/>
      <c r="C1271"/>
    </row>
    <row r="1272" spans="2:3">
      <c r="B1272"/>
      <c r="C1272"/>
    </row>
    <row r="1273" spans="2:3">
      <c r="B1273"/>
      <c r="C1273"/>
    </row>
    <row r="1274" spans="2:3">
      <c r="B1274"/>
      <c r="C1274"/>
    </row>
    <row r="1275" spans="2:3">
      <c r="B1275"/>
      <c r="C1275"/>
    </row>
    <row r="1276" spans="2:3">
      <c r="B1276"/>
      <c r="C1276"/>
    </row>
    <row r="1277" spans="2:3">
      <c r="B1277"/>
      <c r="C1277"/>
    </row>
    <row r="1278" spans="2:3">
      <c r="B1278"/>
      <c r="C1278"/>
    </row>
    <row r="1279" spans="2:3">
      <c r="B1279"/>
      <c r="C1279"/>
    </row>
    <row r="1280" spans="2:3">
      <c r="B1280"/>
      <c r="C1280"/>
    </row>
    <row r="1281" spans="2:3">
      <c r="B1281"/>
      <c r="C1281"/>
    </row>
    <row r="1282" spans="2:3">
      <c r="B1282"/>
      <c r="C1282"/>
    </row>
    <row r="1283" spans="2:3">
      <c r="B1283"/>
      <c r="C1283"/>
    </row>
    <row r="1284" spans="2:3">
      <c r="B1284"/>
      <c r="C1284"/>
    </row>
    <row r="1285" spans="2:3">
      <c r="B1285"/>
      <c r="C1285"/>
    </row>
    <row r="1286" spans="2:3">
      <c r="B1286"/>
      <c r="C1286"/>
    </row>
    <row r="1287" spans="2:3">
      <c r="B1287"/>
      <c r="C1287"/>
    </row>
    <row r="1288" spans="2:3">
      <c r="B1288"/>
      <c r="C1288"/>
    </row>
    <row r="1289" spans="2:3">
      <c r="B1289"/>
      <c r="C1289"/>
    </row>
    <row r="1290" spans="2:3">
      <c r="B1290"/>
      <c r="C1290"/>
    </row>
    <row r="1291" spans="2:3">
      <c r="B1291"/>
      <c r="C1291"/>
    </row>
    <row r="1292" spans="2:3">
      <c r="B1292"/>
      <c r="C1292"/>
    </row>
    <row r="1293" spans="2:3">
      <c r="B1293"/>
      <c r="C1293"/>
    </row>
    <row r="1294" spans="2:3">
      <c r="B1294"/>
      <c r="C1294"/>
    </row>
    <row r="1295" spans="2:3">
      <c r="B1295"/>
      <c r="C1295"/>
    </row>
    <row r="1296" spans="2:3">
      <c r="B1296"/>
      <c r="C1296"/>
    </row>
    <row r="1297" spans="2:3">
      <c r="B1297"/>
      <c r="C1297"/>
    </row>
    <row r="1298" spans="2:3">
      <c r="B1298"/>
      <c r="C1298"/>
    </row>
    <row r="1299" spans="2:3">
      <c r="B1299"/>
      <c r="C1299"/>
    </row>
    <row r="1300" spans="2:3">
      <c r="B1300"/>
      <c r="C1300"/>
    </row>
    <row r="1301" spans="2:3">
      <c r="B1301"/>
      <c r="C1301"/>
    </row>
    <row r="1302" spans="2:3">
      <c r="B1302"/>
      <c r="C1302"/>
    </row>
    <row r="1303" spans="2:3">
      <c r="B1303"/>
      <c r="C1303"/>
    </row>
    <row r="1304" spans="2:3">
      <c r="B1304"/>
      <c r="C1304"/>
    </row>
    <row r="1305" spans="2:3">
      <c r="B1305"/>
      <c r="C1305"/>
    </row>
    <row r="1306" spans="2:3">
      <c r="B1306"/>
      <c r="C1306"/>
    </row>
    <row r="1307" spans="2:3">
      <c r="B1307"/>
      <c r="C1307"/>
    </row>
    <row r="1308" spans="2:3">
      <c r="B1308"/>
      <c r="C1308"/>
    </row>
    <row r="1309" spans="2:3">
      <c r="B1309"/>
      <c r="C1309"/>
    </row>
    <row r="1310" spans="2:3">
      <c r="B1310"/>
      <c r="C1310"/>
    </row>
    <row r="1311" spans="2:3">
      <c r="B1311"/>
      <c r="C1311"/>
    </row>
    <row r="1312" spans="2:3">
      <c r="B1312"/>
      <c r="C1312"/>
    </row>
    <row r="1313" spans="2:3">
      <c r="B1313"/>
      <c r="C1313"/>
    </row>
    <row r="1314" spans="2:3">
      <c r="B1314"/>
      <c r="C1314"/>
    </row>
    <row r="1315" spans="2:3">
      <c r="B1315"/>
      <c r="C1315"/>
    </row>
    <row r="1316" spans="2:3">
      <c r="B1316"/>
      <c r="C1316"/>
    </row>
    <row r="1317" spans="2:3">
      <c r="B1317"/>
      <c r="C1317"/>
    </row>
    <row r="1318" spans="2:3">
      <c r="B1318"/>
      <c r="C1318"/>
    </row>
  </sheetData>
  <mergeCells count="1">
    <mergeCell ref="A1:G1"/>
  </mergeCell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34"/>
  <sheetViews>
    <sheetView tabSelected="1" workbookViewId="0">
      <selection activeCell="A4" sqref="A4:J4"/>
    </sheetView>
  </sheetViews>
  <sheetFormatPr defaultColWidth="14.42578125" defaultRowHeight="15" customHeight="1"/>
  <cols>
    <col min="1" max="1" width="20.28515625" customWidth="1"/>
    <col min="2" max="5" width="24.85546875" customWidth="1"/>
    <col min="6" max="6" width="46.7109375" customWidth="1"/>
    <col min="7" max="7" width="17.28515625" customWidth="1"/>
    <col min="8" max="9" width="27.28515625" customWidth="1"/>
    <col min="10" max="10" width="17.42578125" customWidth="1"/>
    <col min="11" max="11" width="100.85546875" customWidth="1"/>
    <col min="12" max="32" width="8.7109375" customWidth="1"/>
  </cols>
  <sheetData>
    <row r="1" spans="1:32" ht="15.75">
      <c r="A1" s="1"/>
      <c r="B1" s="2"/>
      <c r="C1" s="2"/>
      <c r="D1" s="2"/>
      <c r="E1" s="2"/>
      <c r="F1" s="3"/>
      <c r="G1" s="4"/>
      <c r="H1" s="5"/>
      <c r="I1" s="5"/>
      <c r="J1" s="6"/>
      <c r="K1" s="7"/>
    </row>
    <row r="2" spans="1:32" ht="15.75">
      <c r="A2" s="1"/>
      <c r="B2" s="2"/>
      <c r="C2" s="2"/>
      <c r="D2" s="2"/>
      <c r="E2" s="2"/>
      <c r="F2" s="3"/>
      <c r="G2" s="4"/>
      <c r="H2" s="5"/>
      <c r="I2" s="5"/>
      <c r="J2" s="6"/>
      <c r="K2" s="7"/>
    </row>
    <row r="3" spans="1:32" ht="35.25" customHeight="1">
      <c r="A3" s="223" t="s">
        <v>0</v>
      </c>
      <c r="B3" s="224"/>
      <c r="C3" s="224"/>
      <c r="D3" s="224"/>
      <c r="E3" s="224"/>
      <c r="F3" s="224"/>
      <c r="G3" s="224"/>
      <c r="H3" s="224"/>
      <c r="I3" s="224"/>
      <c r="J3" s="225"/>
      <c r="K3" s="8"/>
    </row>
    <row r="4" spans="1:32" ht="15.75" customHeight="1">
      <c r="A4" s="226" t="s">
        <v>1</v>
      </c>
      <c r="B4" s="227"/>
      <c r="C4" s="227"/>
      <c r="D4" s="227"/>
      <c r="E4" s="227"/>
      <c r="F4" s="227"/>
      <c r="G4" s="227"/>
      <c r="H4" s="227"/>
      <c r="I4" s="227"/>
      <c r="J4" s="228"/>
      <c r="K4" s="9"/>
    </row>
    <row r="5" spans="1:32" ht="15.75" customHeight="1">
      <c r="A5" s="226"/>
      <c r="B5" s="227"/>
      <c r="C5" s="227"/>
      <c r="D5" s="227"/>
      <c r="E5" s="227"/>
      <c r="F5" s="227"/>
      <c r="G5" s="227"/>
      <c r="H5" s="227"/>
      <c r="I5" s="227"/>
      <c r="J5" s="228"/>
      <c r="K5" s="9"/>
    </row>
    <row r="6" spans="1:32" ht="17.25" customHeight="1">
      <c r="A6" s="10" t="s">
        <v>2</v>
      </c>
      <c r="F6" s="11" t="s">
        <v>3</v>
      </c>
      <c r="G6" s="12"/>
      <c r="H6" s="13"/>
      <c r="I6" s="13"/>
      <c r="J6" s="14" t="s">
        <v>4</v>
      </c>
      <c r="K6" s="7" t="s">
        <v>5</v>
      </c>
    </row>
    <row r="7" spans="1:32" ht="17.25" customHeight="1">
      <c r="A7" s="10"/>
      <c r="B7" s="15"/>
      <c r="C7" s="81"/>
      <c r="D7" s="81"/>
      <c r="E7" s="81"/>
      <c r="F7" s="16"/>
      <c r="G7" s="17"/>
      <c r="H7" s="13"/>
      <c r="I7" s="13"/>
      <c r="J7" s="14"/>
      <c r="K7" s="18">
        <f>SUM(J9:J1692)</f>
        <v>1671787.1300000018</v>
      </c>
    </row>
    <row r="8" spans="1:32" s="212" customFormat="1" ht="30" customHeight="1">
      <c r="A8" s="205" t="s">
        <v>6</v>
      </c>
      <c r="B8" s="206" t="s">
        <v>7</v>
      </c>
      <c r="C8" s="206" t="s">
        <v>537</v>
      </c>
      <c r="D8" s="206" t="s">
        <v>2079</v>
      </c>
      <c r="E8" s="206" t="s">
        <v>2104</v>
      </c>
      <c r="F8" s="207" t="s">
        <v>8</v>
      </c>
      <c r="G8" s="208" t="s">
        <v>9</v>
      </c>
      <c r="H8" s="209" t="s">
        <v>10</v>
      </c>
      <c r="I8" s="209" t="s">
        <v>535</v>
      </c>
      <c r="J8" s="210" t="s">
        <v>11</v>
      </c>
      <c r="K8" s="211" t="s">
        <v>12</v>
      </c>
    </row>
    <row r="9" spans="1:32" ht="15.75">
      <c r="A9" s="20" t="s">
        <v>13</v>
      </c>
      <c r="B9" s="20" t="s">
        <v>14</v>
      </c>
      <c r="C9" s="20" t="s">
        <v>14</v>
      </c>
      <c r="D9" s="20" t="str">
        <f>VLOOKUP(Table1[[#This Row],[Point of Origin]],Table2[#All],2,0)</f>
        <v>USA</v>
      </c>
      <c r="E9" s="20" t="str">
        <f>VLOOKUP(Table1[[#This Row],[Point of Origin]],Table2[#All],3,0)</f>
        <v>Domestic</v>
      </c>
      <c r="F9" s="20" t="s">
        <v>15</v>
      </c>
      <c r="G9" s="21" t="s">
        <v>16</v>
      </c>
      <c r="H9" s="22">
        <f>88+22</f>
        <v>110</v>
      </c>
      <c r="I9" s="22">
        <f>Table1[[#This Row],[Total Weight Imported (lbs)]]*0.453592</f>
        <v>49.895119999999999</v>
      </c>
      <c r="J9" s="23">
        <f>375.76+154</f>
        <v>529.76</v>
      </c>
      <c r="K9" s="24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</row>
    <row r="10" spans="1:32" ht="15.75">
      <c r="A10" s="20" t="s">
        <v>13</v>
      </c>
      <c r="B10" s="20" t="s">
        <v>14</v>
      </c>
      <c r="C10" s="20" t="s">
        <v>14</v>
      </c>
      <c r="D10" s="20" t="str">
        <f>VLOOKUP(Table1[[#This Row],[Point of Origin]],Table2[#All],2,0)</f>
        <v>USA</v>
      </c>
      <c r="E10" s="20" t="str">
        <f>VLOOKUP(Table1[[#This Row],[Point of Origin]],Table2[#All],3,0)</f>
        <v>Domestic</v>
      </c>
      <c r="F10" s="20" t="s">
        <v>17</v>
      </c>
      <c r="G10" s="21" t="s">
        <v>18</v>
      </c>
      <c r="H10" s="22">
        <f>30+5</f>
        <v>35</v>
      </c>
      <c r="I10" s="22">
        <f>Table1[[#This Row],[Total Weight Imported (lbs)]]*0.453592</f>
        <v>15.875719999999999</v>
      </c>
      <c r="J10" s="23">
        <f>43.77+40.6</f>
        <v>84.37</v>
      </c>
      <c r="K10" s="24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</row>
    <row r="11" spans="1:32" ht="15.75">
      <c r="A11" s="20" t="s">
        <v>13</v>
      </c>
      <c r="B11" s="20" t="s">
        <v>14</v>
      </c>
      <c r="C11" s="20" t="s">
        <v>14</v>
      </c>
      <c r="D11" s="20" t="str">
        <f>VLOOKUP(Table1[[#This Row],[Point of Origin]],Table2[#All],2,0)</f>
        <v>USA</v>
      </c>
      <c r="E11" s="20" t="str">
        <f>VLOOKUP(Table1[[#This Row],[Point of Origin]],Table2[#All],3,0)</f>
        <v>Domestic</v>
      </c>
      <c r="F11" s="20" t="s">
        <v>19</v>
      </c>
      <c r="G11" s="21" t="s">
        <v>20</v>
      </c>
      <c r="H11" s="22">
        <f>370</f>
        <v>370</v>
      </c>
      <c r="I11" s="22">
        <f>Table1[[#This Row],[Total Weight Imported (lbs)]]*0.453592</f>
        <v>167.82903999999999</v>
      </c>
      <c r="J11" s="23">
        <f>570.58</f>
        <v>570.58000000000004</v>
      </c>
      <c r="K11" s="24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spans="1:32" ht="15.75">
      <c r="A12" s="20" t="s">
        <v>13</v>
      </c>
      <c r="B12" s="20" t="s">
        <v>14</v>
      </c>
      <c r="C12" s="20" t="s">
        <v>14</v>
      </c>
      <c r="D12" s="20" t="str">
        <f>VLOOKUP(Table1[[#This Row],[Point of Origin]],Table2[#All],2,0)</f>
        <v>USA</v>
      </c>
      <c r="E12" s="20" t="str">
        <f>VLOOKUP(Table1[[#This Row],[Point of Origin]],Table2[#All],3,0)</f>
        <v>Domestic</v>
      </c>
      <c r="F12" s="20" t="s">
        <v>21</v>
      </c>
      <c r="G12" s="21" t="s">
        <v>22</v>
      </c>
      <c r="H12" s="22">
        <v>50</v>
      </c>
      <c r="I12" s="22">
        <f>Table1[[#This Row],[Total Weight Imported (lbs)]]*0.453592</f>
        <v>22.679600000000001</v>
      </c>
      <c r="J12" s="23">
        <v>73.53</v>
      </c>
      <c r="K12" s="24"/>
      <c r="L12" s="25"/>
      <c r="M12" s="25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spans="1:32" ht="15.75">
      <c r="A13" s="20" t="s">
        <v>13</v>
      </c>
      <c r="B13" s="20" t="s">
        <v>14</v>
      </c>
      <c r="C13" s="20" t="s">
        <v>14</v>
      </c>
      <c r="D13" s="20" t="str">
        <f>VLOOKUP(Table1[[#This Row],[Point of Origin]],Table2[#All],2,0)</f>
        <v>USA</v>
      </c>
      <c r="E13" s="20" t="str">
        <f>VLOOKUP(Table1[[#This Row],[Point of Origin]],Table2[#All],3,0)</f>
        <v>Domestic</v>
      </c>
      <c r="F13" s="27" t="s">
        <v>23</v>
      </c>
      <c r="G13" s="21" t="s">
        <v>24</v>
      </c>
      <c r="H13" s="22">
        <v>900</v>
      </c>
      <c r="I13" s="22">
        <f>Table1[[#This Row],[Total Weight Imported (lbs)]]*0.453592</f>
        <v>408.2328</v>
      </c>
      <c r="J13" s="23">
        <v>847.06</v>
      </c>
      <c r="K13" s="24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</row>
    <row r="14" spans="1:32" ht="15.75">
      <c r="A14" s="20" t="s">
        <v>13</v>
      </c>
      <c r="B14" s="20" t="s">
        <v>25</v>
      </c>
      <c r="C14" s="20" t="s">
        <v>25</v>
      </c>
      <c r="D14" s="20" t="str">
        <f>VLOOKUP(Table1[[#This Row],[Point of Origin]],Table2[#All],2,0)</f>
        <v>Uraguay</v>
      </c>
      <c r="E14" s="20" t="str">
        <f>VLOOKUP(Table1[[#This Row],[Point of Origin]],Table2[#All],3,0)</f>
        <v>International</v>
      </c>
      <c r="F14" s="20" t="s">
        <v>26</v>
      </c>
      <c r="G14" s="21" t="s">
        <v>27</v>
      </c>
      <c r="H14" s="22">
        <v>99</v>
      </c>
      <c r="I14" s="22">
        <f>Table1[[#This Row],[Total Weight Imported (lbs)]]*0.453592</f>
        <v>44.905608000000001</v>
      </c>
      <c r="J14" s="23">
        <v>1009.36</v>
      </c>
      <c r="K14" s="24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</row>
    <row r="15" spans="1:32" ht="15.75">
      <c r="A15" s="20" t="s">
        <v>13</v>
      </c>
      <c r="B15" s="20" t="s">
        <v>28</v>
      </c>
      <c r="C15" s="20" t="s">
        <v>14</v>
      </c>
      <c r="D15" s="20" t="str">
        <f>VLOOKUP(Table1[[#This Row],[Point of Origin]],Table2[#All],2,0)</f>
        <v>USA</v>
      </c>
      <c r="E15" s="20" t="str">
        <f>VLOOKUP(Table1[[#This Row],[Point of Origin]],Table2[#All],3,0)</f>
        <v>Domestic</v>
      </c>
      <c r="F15" s="20" t="s">
        <v>29</v>
      </c>
      <c r="G15" s="21" t="s">
        <v>30</v>
      </c>
      <c r="H15" s="22">
        <v>10</v>
      </c>
      <c r="I15" s="22">
        <f>Table1[[#This Row],[Total Weight Imported (lbs)]]*0.453592</f>
        <v>4.53592</v>
      </c>
      <c r="J15" s="23">
        <v>28</v>
      </c>
      <c r="K15" s="24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</row>
    <row r="16" spans="1:32" ht="15.75" customHeight="1">
      <c r="A16" s="20" t="s">
        <v>13</v>
      </c>
      <c r="B16" s="20" t="s">
        <v>28</v>
      </c>
      <c r="C16" s="20" t="s">
        <v>14</v>
      </c>
      <c r="D16" s="20" t="str">
        <f>VLOOKUP(Table1[[#This Row],[Point of Origin]],Table2[#All],2,0)</f>
        <v>USA</v>
      </c>
      <c r="E16" s="20" t="str">
        <f>VLOOKUP(Table1[[#This Row],[Point of Origin]],Table2[#All],3,0)</f>
        <v>Domestic</v>
      </c>
      <c r="F16" s="20" t="s">
        <v>31</v>
      </c>
      <c r="G16" s="21" t="s">
        <v>32</v>
      </c>
      <c r="H16" s="22">
        <v>1</v>
      </c>
      <c r="I16" s="22">
        <f>Table1[[#This Row],[Total Weight Imported (lbs)]]*0.453592</f>
        <v>0.453592</v>
      </c>
      <c r="J16" s="23">
        <v>7</v>
      </c>
      <c r="K16" s="24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</row>
    <row r="17" spans="1:32" ht="15.75" customHeight="1">
      <c r="A17" s="20" t="s">
        <v>13</v>
      </c>
      <c r="B17" s="20" t="s">
        <v>28</v>
      </c>
      <c r="C17" s="20" t="s">
        <v>14</v>
      </c>
      <c r="D17" s="20" t="str">
        <f>VLOOKUP(Table1[[#This Row],[Point of Origin]],Table2[#All],2,0)</f>
        <v>USA</v>
      </c>
      <c r="E17" s="20" t="str">
        <f>VLOOKUP(Table1[[#This Row],[Point of Origin]],Table2[#All],3,0)</f>
        <v>Domestic</v>
      </c>
      <c r="F17" s="20" t="s">
        <v>33</v>
      </c>
      <c r="G17" s="21" t="s">
        <v>34</v>
      </c>
      <c r="H17" s="22">
        <v>1</v>
      </c>
      <c r="I17" s="22">
        <f>Table1[[#This Row],[Total Weight Imported (lbs)]]*0.453592</f>
        <v>0.453592</v>
      </c>
      <c r="J17" s="23">
        <v>12.6</v>
      </c>
      <c r="K17" s="24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spans="1:32" ht="15.75" customHeight="1">
      <c r="A18" s="20" t="s">
        <v>13</v>
      </c>
      <c r="B18" s="20" t="s">
        <v>28</v>
      </c>
      <c r="C18" s="20" t="s">
        <v>14</v>
      </c>
      <c r="D18" s="20" t="str">
        <f>VLOOKUP(Table1[[#This Row],[Point of Origin]],Table2[#All],2,0)</f>
        <v>USA</v>
      </c>
      <c r="E18" s="20" t="str">
        <f>VLOOKUP(Table1[[#This Row],[Point of Origin]],Table2[#All],3,0)</f>
        <v>Domestic</v>
      </c>
      <c r="F18" s="20" t="s">
        <v>35</v>
      </c>
      <c r="G18" s="21" t="s">
        <v>32</v>
      </c>
      <c r="H18" s="22">
        <v>1</v>
      </c>
      <c r="I18" s="22">
        <f>Table1[[#This Row],[Total Weight Imported (lbs)]]*0.453592</f>
        <v>0.453592</v>
      </c>
      <c r="J18" s="23">
        <v>11.2</v>
      </c>
      <c r="K18" s="24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</row>
    <row r="19" spans="1:32" ht="15.75" customHeight="1">
      <c r="A19" s="20" t="s">
        <v>13</v>
      </c>
      <c r="B19" s="20" t="s">
        <v>28</v>
      </c>
      <c r="C19" s="20" t="s">
        <v>14</v>
      </c>
      <c r="D19" s="20" t="str">
        <f>VLOOKUP(Table1[[#This Row],[Point of Origin]],Table2[#All],2,0)</f>
        <v>USA</v>
      </c>
      <c r="E19" s="20" t="str">
        <f>VLOOKUP(Table1[[#This Row],[Point of Origin]],Table2[#All],3,0)</f>
        <v>Domestic</v>
      </c>
      <c r="F19" s="20" t="s">
        <v>36</v>
      </c>
      <c r="G19" s="21" t="s">
        <v>37</v>
      </c>
      <c r="H19" s="22">
        <v>5.25</v>
      </c>
      <c r="I19" s="22">
        <f>Table1[[#This Row],[Total Weight Imported (lbs)]]*0.453592</f>
        <v>2.3813580000000001</v>
      </c>
      <c r="J19" s="23">
        <v>68.599999999999994</v>
      </c>
      <c r="K19" s="24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</row>
    <row r="20" spans="1:32" ht="15.75" customHeight="1">
      <c r="A20" s="20" t="s">
        <v>13</v>
      </c>
      <c r="B20" s="20" t="s">
        <v>28</v>
      </c>
      <c r="C20" s="20" t="s">
        <v>14</v>
      </c>
      <c r="D20" s="20" t="str">
        <f>VLOOKUP(Table1[[#This Row],[Point of Origin]],Table2[#All],2,0)</f>
        <v>USA</v>
      </c>
      <c r="E20" s="20" t="str">
        <f>VLOOKUP(Table1[[#This Row],[Point of Origin]],Table2[#All],3,0)</f>
        <v>Domestic</v>
      </c>
      <c r="F20" s="20" t="s">
        <v>38</v>
      </c>
      <c r="G20" s="21" t="s">
        <v>39</v>
      </c>
      <c r="H20" s="22">
        <f>30</f>
        <v>30</v>
      </c>
      <c r="I20" s="22">
        <f>Table1[[#This Row],[Total Weight Imported (lbs)]]*0.453592</f>
        <v>13.607759999999999</v>
      </c>
      <c r="J20" s="23">
        <f>50.4+100.8</f>
        <v>151.19999999999999</v>
      </c>
      <c r="K20" s="24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32" ht="15.75" customHeight="1">
      <c r="A21" s="20" t="s">
        <v>13</v>
      </c>
      <c r="B21" s="20" t="s">
        <v>28</v>
      </c>
      <c r="C21" s="20" t="s">
        <v>14</v>
      </c>
      <c r="D21" s="20" t="str">
        <f>VLOOKUP(Table1[[#This Row],[Point of Origin]],Table2[#All],2,0)</f>
        <v>USA</v>
      </c>
      <c r="E21" s="20" t="str">
        <f>VLOOKUP(Table1[[#This Row],[Point of Origin]],Table2[#All],3,0)</f>
        <v>Domestic</v>
      </c>
      <c r="F21" s="20" t="s">
        <v>40</v>
      </c>
      <c r="G21" s="21" t="s">
        <v>41</v>
      </c>
      <c r="H21" s="22">
        <f>50</f>
        <v>50</v>
      </c>
      <c r="I21" s="22">
        <f>Table1[[#This Row],[Total Weight Imported (lbs)]]*0.453592</f>
        <v>22.679600000000001</v>
      </c>
      <c r="J21" s="23">
        <f>44.8+179.2</f>
        <v>224</v>
      </c>
      <c r="K21" s="24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</row>
    <row r="22" spans="1:32" ht="15.75" customHeight="1">
      <c r="A22" s="20" t="s">
        <v>13</v>
      </c>
      <c r="B22" s="20" t="s">
        <v>28</v>
      </c>
      <c r="C22" s="20" t="s">
        <v>14</v>
      </c>
      <c r="D22" s="20" t="str">
        <f>VLOOKUP(Table1[[#This Row],[Point of Origin]],Table2[#All],2,0)</f>
        <v>USA</v>
      </c>
      <c r="E22" s="20" t="str">
        <f>VLOOKUP(Table1[[#This Row],[Point of Origin]],Table2[#All],3,0)</f>
        <v>Domestic</v>
      </c>
      <c r="F22" s="20" t="s">
        <v>31</v>
      </c>
      <c r="G22" s="21" t="s">
        <v>32</v>
      </c>
      <c r="H22" s="22">
        <v>2</v>
      </c>
      <c r="I22" s="22">
        <f>Table1[[#This Row],[Total Weight Imported (lbs)]]*0.453592</f>
        <v>0.90718399999999999</v>
      </c>
      <c r="J22" s="23">
        <v>14</v>
      </c>
      <c r="K22" s="24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</row>
    <row r="23" spans="1:32" ht="15.75" customHeight="1">
      <c r="A23" s="20" t="s">
        <v>13</v>
      </c>
      <c r="B23" s="20" t="s">
        <v>28</v>
      </c>
      <c r="C23" s="20" t="s">
        <v>14</v>
      </c>
      <c r="D23" s="20" t="str">
        <f>VLOOKUP(Table1[[#This Row],[Point of Origin]],Table2[#All],2,0)</f>
        <v>USA</v>
      </c>
      <c r="E23" s="20" t="str">
        <f>VLOOKUP(Table1[[#This Row],[Point of Origin]],Table2[#All],3,0)</f>
        <v>Domestic</v>
      </c>
      <c r="F23" s="20" t="s">
        <v>42</v>
      </c>
      <c r="G23" s="21" t="s">
        <v>32</v>
      </c>
      <c r="H23" s="22">
        <v>3</v>
      </c>
      <c r="I23" s="22">
        <f>Table1[[#This Row],[Total Weight Imported (lbs)]]*0.453592</f>
        <v>1.360776</v>
      </c>
      <c r="J23" s="23">
        <v>16.8</v>
      </c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</row>
    <row r="24" spans="1:32" ht="15.75" customHeight="1">
      <c r="A24" s="20" t="s">
        <v>13</v>
      </c>
      <c r="B24" s="20" t="s">
        <v>28</v>
      </c>
      <c r="C24" s="20" t="s">
        <v>14</v>
      </c>
      <c r="D24" s="20" t="str">
        <f>VLOOKUP(Table1[[#This Row],[Point of Origin]],Table2[#All],2,0)</f>
        <v>USA</v>
      </c>
      <c r="E24" s="20" t="str">
        <f>VLOOKUP(Table1[[#This Row],[Point of Origin]],Table2[#All],3,0)</f>
        <v>Domestic</v>
      </c>
      <c r="F24" s="20" t="s">
        <v>43</v>
      </c>
      <c r="G24" s="21" t="s">
        <v>44</v>
      </c>
      <c r="H24" s="22">
        <v>40</v>
      </c>
      <c r="I24" s="22">
        <f>Table1[[#This Row],[Total Weight Imported (lbs)]]*0.453592</f>
        <v>18.14368</v>
      </c>
      <c r="J24" s="23">
        <v>63</v>
      </c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</row>
    <row r="25" spans="1:32" ht="15.75" customHeight="1">
      <c r="A25" s="20" t="s">
        <v>13</v>
      </c>
      <c r="B25" s="20" t="s">
        <v>28</v>
      </c>
      <c r="C25" s="20" t="s">
        <v>14</v>
      </c>
      <c r="D25" s="20" t="str">
        <f>VLOOKUP(Table1[[#This Row],[Point of Origin]],Table2[#All],2,0)</f>
        <v>USA</v>
      </c>
      <c r="E25" s="20" t="str">
        <f>VLOOKUP(Table1[[#This Row],[Point of Origin]],Table2[#All],3,0)</f>
        <v>Domestic</v>
      </c>
      <c r="F25" s="20" t="s">
        <v>33</v>
      </c>
      <c r="G25" s="21" t="s">
        <v>34</v>
      </c>
      <c r="H25" s="22">
        <v>2</v>
      </c>
      <c r="I25" s="22">
        <f>Table1[[#This Row],[Total Weight Imported (lbs)]]*0.453592</f>
        <v>0.90718399999999999</v>
      </c>
      <c r="J25" s="23">
        <v>25.2</v>
      </c>
      <c r="K25" s="24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32" ht="15.75" customHeight="1">
      <c r="A26" s="28" t="s">
        <v>45</v>
      </c>
      <c r="B26" s="30" t="s">
        <v>46</v>
      </c>
      <c r="C26" s="30" t="s">
        <v>46</v>
      </c>
      <c r="D26" s="29" t="str">
        <f>VLOOKUP(Table1[[#This Row],[Point of Origin]],Table2[#All],2,0)</f>
        <v>Mexico</v>
      </c>
      <c r="E26" s="29" t="str">
        <f>VLOOKUP(Table1[[#This Row],[Point of Origin]],Table2[#All],3,0)</f>
        <v>International</v>
      </c>
      <c r="F26" s="29" t="s">
        <v>47</v>
      </c>
      <c r="G26" s="21" t="s">
        <v>32</v>
      </c>
      <c r="H26" s="22">
        <v>10</v>
      </c>
      <c r="I26" s="22">
        <f>Table1[[#This Row],[Total Weight Imported (lbs)]]*0.453592</f>
        <v>4.53592</v>
      </c>
      <c r="J26" s="23">
        <v>18.82</v>
      </c>
      <c r="K26" s="24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</row>
    <row r="27" spans="1:32" ht="15.75" customHeight="1">
      <c r="A27" s="28" t="s">
        <v>45</v>
      </c>
      <c r="B27" s="30" t="s">
        <v>46</v>
      </c>
      <c r="C27" s="30" t="s">
        <v>46</v>
      </c>
      <c r="D27" s="29" t="str">
        <f>VLOOKUP(Table1[[#This Row],[Point of Origin]],Table2[#All],2,0)</f>
        <v>Mexico</v>
      </c>
      <c r="E27" s="29" t="str">
        <f>VLOOKUP(Table1[[#This Row],[Point of Origin]],Table2[#All],3,0)</f>
        <v>International</v>
      </c>
      <c r="F27" s="29" t="s">
        <v>48</v>
      </c>
      <c r="G27" s="21" t="s">
        <v>49</v>
      </c>
      <c r="H27" s="22">
        <v>240</v>
      </c>
      <c r="I27" s="22">
        <f>Table1[[#This Row],[Total Weight Imported (lbs)]]*0.453592</f>
        <v>108.86207999999999</v>
      </c>
      <c r="J27" s="23">
        <v>317.64999999999998</v>
      </c>
      <c r="K27" s="24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</row>
    <row r="28" spans="1:32" ht="15.75" customHeight="1">
      <c r="A28" s="28" t="s">
        <v>45</v>
      </c>
      <c r="B28" s="30" t="s">
        <v>14</v>
      </c>
      <c r="C28" s="30" t="s">
        <v>14</v>
      </c>
      <c r="D28" s="29" t="str">
        <f>VLOOKUP(Table1[[#This Row],[Point of Origin]],Table2[#All],2,0)</f>
        <v>USA</v>
      </c>
      <c r="E28" s="29" t="str">
        <f>VLOOKUP(Table1[[#This Row],[Point of Origin]],Table2[#All],3,0)</f>
        <v>Domestic</v>
      </c>
      <c r="F28" s="29" t="s">
        <v>15</v>
      </c>
      <c r="G28" s="21" t="s">
        <v>16</v>
      </c>
      <c r="H28" s="22">
        <f>33</f>
        <v>33</v>
      </c>
      <c r="I28" s="22">
        <f>Table1[[#This Row],[Total Weight Imported (lbs)]]*0.453592</f>
        <v>14.968536</v>
      </c>
      <c r="J28" s="23">
        <f>86.9+77</f>
        <v>163.9</v>
      </c>
      <c r="K28" s="24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</row>
    <row r="29" spans="1:32" ht="15.75" customHeight="1">
      <c r="A29" s="28" t="s">
        <v>45</v>
      </c>
      <c r="B29" s="30" t="s">
        <v>14</v>
      </c>
      <c r="C29" s="30" t="s">
        <v>14</v>
      </c>
      <c r="D29" s="29" t="str">
        <f>VLOOKUP(Table1[[#This Row],[Point of Origin]],Table2[#All],2,0)</f>
        <v>USA</v>
      </c>
      <c r="E29" s="29" t="str">
        <f>VLOOKUP(Table1[[#This Row],[Point of Origin]],Table2[#All],3,0)</f>
        <v>Domestic</v>
      </c>
      <c r="F29" s="29" t="s">
        <v>19</v>
      </c>
      <c r="G29" s="21" t="s">
        <v>20</v>
      </c>
      <c r="H29" s="22">
        <v>120</v>
      </c>
      <c r="I29" s="22">
        <f>Table1[[#This Row],[Total Weight Imported (lbs)]]*0.453592</f>
        <v>54.431039999999996</v>
      </c>
      <c r="J29" s="23">
        <v>176.47</v>
      </c>
      <c r="K29" s="24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</row>
    <row r="30" spans="1:32" ht="15.75">
      <c r="A30" s="28" t="s">
        <v>45</v>
      </c>
      <c r="B30" s="30" t="s">
        <v>14</v>
      </c>
      <c r="C30" s="30" t="s">
        <v>14</v>
      </c>
      <c r="D30" s="29" t="str">
        <f>VLOOKUP(Table1[[#This Row],[Point of Origin]],Table2[#All],2,0)</f>
        <v>USA</v>
      </c>
      <c r="E30" s="29" t="str">
        <f>VLOOKUP(Table1[[#This Row],[Point of Origin]],Table2[#All],3,0)</f>
        <v>Domestic</v>
      </c>
      <c r="F30" s="29" t="s">
        <v>50</v>
      </c>
      <c r="G30" s="21" t="s">
        <v>51</v>
      </c>
      <c r="H30" s="22">
        <v>100</v>
      </c>
      <c r="I30" s="22">
        <f>Table1[[#This Row],[Total Weight Imported (lbs)]]*0.453592</f>
        <v>45.359200000000001</v>
      </c>
      <c r="J30" s="23">
        <v>134.12</v>
      </c>
      <c r="K30" s="24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</row>
    <row r="31" spans="1:32" ht="15.75">
      <c r="A31" s="28" t="s">
        <v>45</v>
      </c>
      <c r="B31" s="30" t="s">
        <v>14</v>
      </c>
      <c r="C31" s="30" t="s">
        <v>14</v>
      </c>
      <c r="D31" s="29" t="str">
        <f>VLOOKUP(Table1[[#This Row],[Point of Origin]],Table2[#All],2,0)</f>
        <v>USA</v>
      </c>
      <c r="E31" s="29" t="str">
        <f>VLOOKUP(Table1[[#This Row],[Point of Origin]],Table2[#All],3,0)</f>
        <v>Domestic</v>
      </c>
      <c r="F31" s="29" t="s">
        <v>52</v>
      </c>
      <c r="G31" s="21" t="s">
        <v>41</v>
      </c>
      <c r="H31" s="22">
        <v>25</v>
      </c>
      <c r="I31" s="22">
        <f>Table1[[#This Row],[Total Weight Imported (lbs)]]*0.453592</f>
        <v>11.3398</v>
      </c>
      <c r="J31" s="23">
        <v>24.71</v>
      </c>
      <c r="K31" s="24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</row>
    <row r="32" spans="1:32" ht="15.75">
      <c r="A32" s="28" t="s">
        <v>45</v>
      </c>
      <c r="B32" s="30" t="s">
        <v>28</v>
      </c>
      <c r="C32" s="30" t="s">
        <v>14</v>
      </c>
      <c r="D32" s="29" t="str">
        <f>VLOOKUP(Table1[[#This Row],[Point of Origin]],Table2[#All],2,0)</f>
        <v>USA</v>
      </c>
      <c r="E32" s="29" t="str">
        <f>VLOOKUP(Table1[[#This Row],[Point of Origin]],Table2[#All],3,0)</f>
        <v>Domestic</v>
      </c>
      <c r="F32" s="29" t="s">
        <v>31</v>
      </c>
      <c r="G32" s="21" t="s">
        <v>32</v>
      </c>
      <c r="H32" s="22">
        <f>2</f>
        <v>2</v>
      </c>
      <c r="I32" s="22">
        <f>Table1[[#This Row],[Total Weight Imported (lbs)]]*0.453592</f>
        <v>0.90718399999999999</v>
      </c>
      <c r="J32" s="23">
        <f>14</f>
        <v>14</v>
      </c>
      <c r="K32" s="24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</row>
    <row r="33" spans="1:32" ht="15.75">
      <c r="A33" s="28" t="s">
        <v>45</v>
      </c>
      <c r="B33" s="30" t="s">
        <v>28</v>
      </c>
      <c r="C33" s="30" t="s">
        <v>14</v>
      </c>
      <c r="D33" s="29" t="str">
        <f>VLOOKUP(Table1[[#This Row],[Point of Origin]],Table2[#All],2,0)</f>
        <v>USA</v>
      </c>
      <c r="E33" s="29" t="str">
        <f>VLOOKUP(Table1[[#This Row],[Point of Origin]],Table2[#All],3,0)</f>
        <v>Domestic</v>
      </c>
      <c r="F33" s="29" t="s">
        <v>53</v>
      </c>
      <c r="G33" s="21" t="s">
        <v>32</v>
      </c>
      <c r="H33" s="22">
        <v>1</v>
      </c>
      <c r="I33" s="22">
        <f>Table1[[#This Row],[Total Weight Imported (lbs)]]*0.453592</f>
        <v>0.453592</v>
      </c>
      <c r="J33" s="23">
        <v>11.2</v>
      </c>
      <c r="K33" s="24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</row>
    <row r="34" spans="1:32" ht="15.75">
      <c r="A34" s="28" t="s">
        <v>45</v>
      </c>
      <c r="B34" s="30" t="s">
        <v>28</v>
      </c>
      <c r="C34" s="30" t="s">
        <v>14</v>
      </c>
      <c r="D34" s="29" t="str">
        <f>VLOOKUP(Table1[[#This Row],[Point of Origin]],Table2[#All],2,0)</f>
        <v>USA</v>
      </c>
      <c r="E34" s="29" t="str">
        <f>VLOOKUP(Table1[[#This Row],[Point of Origin]],Table2[#All],3,0)</f>
        <v>Domestic</v>
      </c>
      <c r="F34" s="29" t="s">
        <v>54</v>
      </c>
      <c r="G34" s="21" t="s">
        <v>30</v>
      </c>
      <c r="H34" s="22">
        <v>10</v>
      </c>
      <c r="I34" s="22">
        <f>Table1[[#This Row],[Total Weight Imported (lbs)]]*0.453592</f>
        <v>4.53592</v>
      </c>
      <c r="J34" s="23">
        <v>28</v>
      </c>
      <c r="K34" s="24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ht="15.75" customHeight="1">
      <c r="A35" s="28" t="s">
        <v>45</v>
      </c>
      <c r="B35" s="30" t="s">
        <v>28</v>
      </c>
      <c r="C35" s="30" t="s">
        <v>14</v>
      </c>
      <c r="D35" s="29" t="str">
        <f>VLOOKUP(Table1[[#This Row],[Point of Origin]],Table2[#All],2,0)</f>
        <v>USA</v>
      </c>
      <c r="E35" s="29" t="str">
        <f>VLOOKUP(Table1[[#This Row],[Point of Origin]],Table2[#All],3,0)</f>
        <v>Domestic</v>
      </c>
      <c r="F35" s="28" t="s">
        <v>42</v>
      </c>
      <c r="G35" s="21" t="s">
        <v>32</v>
      </c>
      <c r="H35" s="22">
        <f>4</f>
        <v>4</v>
      </c>
      <c r="I35" s="22">
        <f>Table1[[#This Row],[Total Weight Imported (lbs)]]*0.453592</f>
        <v>1.814368</v>
      </c>
      <c r="J35" s="23">
        <f>30.8</f>
        <v>30.8</v>
      </c>
      <c r="K35" s="24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</row>
    <row r="36" spans="1:32" ht="15.75">
      <c r="A36" s="28" t="s">
        <v>45</v>
      </c>
      <c r="B36" s="30" t="s">
        <v>28</v>
      </c>
      <c r="C36" s="30" t="s">
        <v>14</v>
      </c>
      <c r="D36" s="29" t="str">
        <f>VLOOKUP(Table1[[#This Row],[Point of Origin]],Table2[#All],2,0)</f>
        <v>USA</v>
      </c>
      <c r="E36" s="29" t="str">
        <f>VLOOKUP(Table1[[#This Row],[Point of Origin]],Table2[#All],3,0)</f>
        <v>Domestic</v>
      </c>
      <c r="F36" s="28" t="s">
        <v>33</v>
      </c>
      <c r="G36" s="21" t="s">
        <v>34</v>
      </c>
      <c r="H36" s="22">
        <v>2</v>
      </c>
      <c r="I36" s="22">
        <f>Table1[[#This Row],[Total Weight Imported (lbs)]]*0.453592</f>
        <v>0.90718399999999999</v>
      </c>
      <c r="J36" s="23">
        <v>25.2</v>
      </c>
      <c r="K36" s="24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</row>
    <row r="37" spans="1:32" ht="15.75" customHeight="1">
      <c r="A37" s="28" t="s">
        <v>45</v>
      </c>
      <c r="B37" s="30" t="s">
        <v>28</v>
      </c>
      <c r="C37" s="30" t="s">
        <v>14</v>
      </c>
      <c r="D37" s="29" t="str">
        <f>VLOOKUP(Table1[[#This Row],[Point of Origin]],Table2[#All],2,0)</f>
        <v>USA</v>
      </c>
      <c r="E37" s="29" t="str">
        <f>VLOOKUP(Table1[[#This Row],[Point of Origin]],Table2[#All],3,0)</f>
        <v>Domestic</v>
      </c>
      <c r="F37" s="29" t="s">
        <v>38</v>
      </c>
      <c r="G37" s="21" t="s">
        <v>39</v>
      </c>
      <c r="H37" s="22">
        <v>10</v>
      </c>
      <c r="I37" s="22">
        <f>Table1[[#This Row],[Total Weight Imported (lbs)]]*0.453592</f>
        <v>4.53592</v>
      </c>
      <c r="J37" s="23">
        <v>50.4</v>
      </c>
      <c r="K37" s="24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</row>
    <row r="38" spans="1:32" ht="15.75" customHeight="1">
      <c r="A38" s="28" t="s">
        <v>45</v>
      </c>
      <c r="B38" s="30" t="s">
        <v>28</v>
      </c>
      <c r="C38" s="30" t="s">
        <v>14</v>
      </c>
      <c r="D38" s="29" t="str">
        <f>VLOOKUP(Table1[[#This Row],[Point of Origin]],Table2[#All],2,0)</f>
        <v>USA</v>
      </c>
      <c r="E38" s="29" t="str">
        <f>VLOOKUP(Table1[[#This Row],[Point of Origin]],Table2[#All],3,0)</f>
        <v>Domestic</v>
      </c>
      <c r="F38" s="29" t="s">
        <v>40</v>
      </c>
      <c r="G38" s="21" t="s">
        <v>41</v>
      </c>
      <c r="H38" s="22">
        <f>35+10</f>
        <v>45</v>
      </c>
      <c r="I38" s="22">
        <f>Table1[[#This Row],[Total Weight Imported (lbs)]]*0.453592</f>
        <v>20.411639999999998</v>
      </c>
      <c r="J38" s="23">
        <f>134.4+28+44.8</f>
        <v>207.2</v>
      </c>
      <c r="K38" s="24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</row>
    <row r="39" spans="1:32" ht="15.75" customHeight="1">
      <c r="A39" s="27" t="s">
        <v>55</v>
      </c>
      <c r="B39" s="32" t="s">
        <v>28</v>
      </c>
      <c r="C39" s="32" t="s">
        <v>14</v>
      </c>
      <c r="D39" s="31" t="str">
        <f>VLOOKUP(Table1[[#This Row],[Point of Origin]],Table2[#All],2,0)</f>
        <v>USA</v>
      </c>
      <c r="E39" s="31" t="str">
        <f>VLOOKUP(Table1[[#This Row],[Point of Origin]],Table2[#All],3,0)</f>
        <v>Domestic</v>
      </c>
      <c r="F39" s="31" t="s">
        <v>17</v>
      </c>
      <c r="G39" s="21" t="s">
        <v>18</v>
      </c>
      <c r="H39" s="22">
        <v>40</v>
      </c>
      <c r="I39" s="22">
        <f>Table1[[#This Row],[Total Weight Imported (lbs)]]*0.453592</f>
        <v>18.14368</v>
      </c>
      <c r="J39" s="23">
        <v>40.299999999999997</v>
      </c>
      <c r="K39" s="24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</row>
    <row r="40" spans="1:32" ht="15.75" customHeight="1">
      <c r="A40" s="27" t="s">
        <v>55</v>
      </c>
      <c r="B40" s="32" t="s">
        <v>28</v>
      </c>
      <c r="C40" s="32" t="s">
        <v>14</v>
      </c>
      <c r="D40" s="31" t="str">
        <f>VLOOKUP(Table1[[#This Row],[Point of Origin]],Table2[#All],2,0)</f>
        <v>USA</v>
      </c>
      <c r="E40" s="31" t="str">
        <f>VLOOKUP(Table1[[#This Row],[Point of Origin]],Table2[#All],3,0)</f>
        <v>Domestic</v>
      </c>
      <c r="F40" s="31" t="s">
        <v>19</v>
      </c>
      <c r="G40" s="21" t="s">
        <v>20</v>
      </c>
      <c r="H40" s="22">
        <v>350</v>
      </c>
      <c r="I40" s="22">
        <f>Table1[[#This Row],[Total Weight Imported (lbs)]]*0.453592</f>
        <v>158.75720000000001</v>
      </c>
      <c r="J40" s="23">
        <v>390.6</v>
      </c>
      <c r="K40" s="24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</row>
    <row r="41" spans="1:32" ht="15.75" customHeight="1">
      <c r="A41" s="27" t="s">
        <v>55</v>
      </c>
      <c r="B41" s="32" t="s">
        <v>28</v>
      </c>
      <c r="C41" s="32" t="s">
        <v>14</v>
      </c>
      <c r="D41" s="31" t="str">
        <f>VLOOKUP(Table1[[#This Row],[Point of Origin]],Table2[#All],2,0)</f>
        <v>USA</v>
      </c>
      <c r="E41" s="31" t="str">
        <f>VLOOKUP(Table1[[#This Row],[Point of Origin]],Table2[#All],3,0)</f>
        <v>Domestic</v>
      </c>
      <c r="F41" s="31" t="s">
        <v>56</v>
      </c>
      <c r="G41" s="21" t="s">
        <v>57</v>
      </c>
      <c r="H41" s="22">
        <v>330</v>
      </c>
      <c r="I41" s="22">
        <f>Table1[[#This Row],[Total Weight Imported (lbs)]]*0.453592</f>
        <v>149.68536</v>
      </c>
      <c r="J41" s="23">
        <v>149.1</v>
      </c>
      <c r="K41" s="24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</row>
    <row r="42" spans="1:32" ht="15.75" customHeight="1">
      <c r="A42" s="27" t="s">
        <v>55</v>
      </c>
      <c r="B42" s="32" t="s">
        <v>28</v>
      </c>
      <c r="C42" s="32" t="s">
        <v>14</v>
      </c>
      <c r="D42" s="31" t="str">
        <f>VLOOKUP(Table1[[#This Row],[Point of Origin]],Table2[#All],2,0)</f>
        <v>USA</v>
      </c>
      <c r="E42" s="31" t="str">
        <f>VLOOKUP(Table1[[#This Row],[Point of Origin]],Table2[#All],3,0)</f>
        <v>Domestic</v>
      </c>
      <c r="F42" s="31" t="s">
        <v>58</v>
      </c>
      <c r="G42" s="21" t="s">
        <v>34</v>
      </c>
      <c r="H42" s="22">
        <v>18</v>
      </c>
      <c r="I42" s="22">
        <f>Table1[[#This Row],[Total Weight Imported (lbs)]]*0.453592</f>
        <v>8.1646560000000008</v>
      </c>
      <c r="J42" s="23">
        <v>28.05</v>
      </c>
      <c r="K42" s="24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</row>
    <row r="43" spans="1:32" ht="15.75" customHeight="1">
      <c r="A43" s="27" t="s">
        <v>55</v>
      </c>
      <c r="B43" s="32" t="s">
        <v>28</v>
      </c>
      <c r="C43" s="32" t="s">
        <v>14</v>
      </c>
      <c r="D43" s="31" t="str">
        <f>VLOOKUP(Table1[[#This Row],[Point of Origin]],Table2[#All],2,0)</f>
        <v>USA</v>
      </c>
      <c r="E43" s="31" t="str">
        <f>VLOOKUP(Table1[[#This Row],[Point of Origin]],Table2[#All],3,0)</f>
        <v>Domestic</v>
      </c>
      <c r="F43" s="31" t="s">
        <v>59</v>
      </c>
      <c r="G43" s="21" t="s">
        <v>60</v>
      </c>
      <c r="H43" s="22">
        <v>770</v>
      </c>
      <c r="I43" s="22">
        <f>Table1[[#This Row],[Total Weight Imported (lbs)]]*0.453592</f>
        <v>349.26583999999997</v>
      </c>
      <c r="J43" s="23">
        <v>548.9</v>
      </c>
      <c r="K43" s="33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</row>
    <row r="44" spans="1:32" ht="15.75" customHeight="1">
      <c r="A44" s="27" t="s">
        <v>55</v>
      </c>
      <c r="B44" s="32" t="s">
        <v>28</v>
      </c>
      <c r="C44" s="32" t="s">
        <v>14</v>
      </c>
      <c r="D44" s="31" t="str">
        <f>VLOOKUP(Table1[[#This Row],[Point of Origin]],Table2[#All],2,0)</f>
        <v>USA</v>
      </c>
      <c r="E44" s="31" t="str">
        <f>VLOOKUP(Table1[[#This Row],[Point of Origin]],Table2[#All],3,0)</f>
        <v>Domestic</v>
      </c>
      <c r="F44" s="31" t="s">
        <v>19</v>
      </c>
      <c r="G44" s="21" t="s">
        <v>20</v>
      </c>
      <c r="H44" s="22">
        <v>40</v>
      </c>
      <c r="I44" s="22">
        <f>Table1[[#This Row],[Total Weight Imported (lbs)]]*0.453592</f>
        <v>18.14368</v>
      </c>
      <c r="J44" s="23">
        <v>37.9</v>
      </c>
      <c r="K44" s="24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</row>
    <row r="45" spans="1:32" ht="15.75" customHeight="1">
      <c r="A45" s="27" t="s">
        <v>55</v>
      </c>
      <c r="B45" s="32" t="s">
        <v>28</v>
      </c>
      <c r="C45" s="32" t="s">
        <v>14</v>
      </c>
      <c r="D45" s="31" t="str">
        <f>VLOOKUP(Table1[[#This Row],[Point of Origin]],Table2[#All],2,0)</f>
        <v>USA</v>
      </c>
      <c r="E45" s="31" t="str">
        <f>VLOOKUP(Table1[[#This Row],[Point of Origin]],Table2[#All],3,0)</f>
        <v>Domestic</v>
      </c>
      <c r="F45" s="31" t="s">
        <v>61</v>
      </c>
      <c r="G45" s="21" t="s">
        <v>62</v>
      </c>
      <c r="H45" s="22">
        <v>432</v>
      </c>
      <c r="I45" s="22">
        <f>Table1[[#This Row],[Total Weight Imported (lbs)]]*0.453592</f>
        <v>195.95174399999999</v>
      </c>
      <c r="J45" s="23">
        <v>483.3</v>
      </c>
      <c r="K45" s="24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</row>
    <row r="46" spans="1:32" ht="15.75" customHeight="1">
      <c r="A46" s="27" t="s">
        <v>55</v>
      </c>
      <c r="B46" s="32" t="s">
        <v>28</v>
      </c>
      <c r="C46" s="32" t="s">
        <v>14</v>
      </c>
      <c r="D46" s="31" t="str">
        <f>VLOOKUP(Table1[[#This Row],[Point of Origin]],Table2[#All],2,0)</f>
        <v>USA</v>
      </c>
      <c r="E46" s="31" t="str">
        <f>VLOOKUP(Table1[[#This Row],[Point of Origin]],Table2[#All],3,0)</f>
        <v>Domestic</v>
      </c>
      <c r="F46" s="31" t="s">
        <v>63</v>
      </c>
      <c r="G46" s="21" t="s">
        <v>64</v>
      </c>
      <c r="H46" s="22">
        <v>88</v>
      </c>
      <c r="I46" s="22">
        <f>Table1[[#This Row],[Total Weight Imported (lbs)]]*0.453592</f>
        <v>39.916095999999996</v>
      </c>
      <c r="J46" s="23">
        <v>66</v>
      </c>
      <c r="K46" s="33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</row>
    <row r="47" spans="1:32" ht="15.75" customHeight="1">
      <c r="A47" s="27" t="s">
        <v>55</v>
      </c>
      <c r="B47" s="32" t="s">
        <v>28</v>
      </c>
      <c r="C47" s="32" t="s">
        <v>14</v>
      </c>
      <c r="D47" s="31" t="str">
        <f>VLOOKUP(Table1[[#This Row],[Point of Origin]],Table2[#All],2,0)</f>
        <v>USA</v>
      </c>
      <c r="E47" s="31" t="str">
        <f>VLOOKUP(Table1[[#This Row],[Point of Origin]],Table2[#All],3,0)</f>
        <v>Domestic</v>
      </c>
      <c r="F47" s="31" t="s">
        <v>65</v>
      </c>
      <c r="G47" s="21" t="s">
        <v>66</v>
      </c>
      <c r="H47" s="22">
        <v>264</v>
      </c>
      <c r="I47" s="22">
        <f>Table1[[#This Row],[Total Weight Imported (lbs)]]*0.453592</f>
        <v>119.748288</v>
      </c>
      <c r="J47" s="23">
        <v>846.45</v>
      </c>
      <c r="K47" s="24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</row>
    <row r="48" spans="1:32" ht="15.75" customHeight="1">
      <c r="A48" s="27" t="s">
        <v>55</v>
      </c>
      <c r="B48" s="32" t="s">
        <v>28</v>
      </c>
      <c r="C48" s="32" t="s">
        <v>14</v>
      </c>
      <c r="D48" s="31" t="str">
        <f>VLOOKUP(Table1[[#This Row],[Point of Origin]],Table2[#All],2,0)</f>
        <v>USA</v>
      </c>
      <c r="E48" s="31" t="str">
        <f>VLOOKUP(Table1[[#This Row],[Point of Origin]],Table2[#All],3,0)</f>
        <v>Domestic</v>
      </c>
      <c r="F48" s="31" t="s">
        <v>67</v>
      </c>
      <c r="G48" s="21" t="s">
        <v>68</v>
      </c>
      <c r="H48" s="22">
        <v>250</v>
      </c>
      <c r="I48" s="22">
        <f>Table1[[#This Row],[Total Weight Imported (lbs)]]*0.453592</f>
        <v>113.398</v>
      </c>
      <c r="J48" s="23">
        <v>535</v>
      </c>
      <c r="K48" s="24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</row>
    <row r="49" spans="1:32" ht="15.75" customHeight="1">
      <c r="A49" s="27" t="s">
        <v>55</v>
      </c>
      <c r="B49" s="32" t="s">
        <v>28</v>
      </c>
      <c r="C49" s="32" t="s">
        <v>14</v>
      </c>
      <c r="D49" s="31" t="str">
        <f>VLOOKUP(Table1[[#This Row],[Point of Origin]],Table2[#All],2,0)</f>
        <v>USA</v>
      </c>
      <c r="E49" s="31" t="str">
        <f>VLOOKUP(Table1[[#This Row],[Point of Origin]],Table2[#All],3,0)</f>
        <v>Domestic</v>
      </c>
      <c r="F49" s="31" t="s">
        <v>69</v>
      </c>
      <c r="G49" s="21" t="s">
        <v>70</v>
      </c>
      <c r="H49" s="22">
        <v>94.5</v>
      </c>
      <c r="I49" s="22">
        <f>Table1[[#This Row],[Total Weight Imported (lbs)]]*0.453592</f>
        <v>42.864443999999999</v>
      </c>
      <c r="J49" s="23">
        <v>766.5</v>
      </c>
      <c r="K49" s="24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</row>
    <row r="50" spans="1:32" ht="15.75" customHeight="1">
      <c r="A50" s="27" t="s">
        <v>55</v>
      </c>
      <c r="B50" s="32" t="s">
        <v>28</v>
      </c>
      <c r="C50" s="32" t="s">
        <v>14</v>
      </c>
      <c r="D50" s="31" t="str">
        <f>VLOOKUP(Table1[[#This Row],[Point of Origin]],Table2[#All],2,0)</f>
        <v>USA</v>
      </c>
      <c r="E50" s="31" t="str">
        <f>VLOOKUP(Table1[[#This Row],[Point of Origin]],Table2[#All],3,0)</f>
        <v>Domestic</v>
      </c>
      <c r="F50" s="31" t="s">
        <v>19</v>
      </c>
      <c r="G50" s="21" t="s">
        <v>20</v>
      </c>
      <c r="H50" s="22">
        <v>120</v>
      </c>
      <c r="I50" s="22">
        <f>Table1[[#This Row],[Total Weight Imported (lbs)]]*0.453592</f>
        <v>54.431039999999996</v>
      </c>
      <c r="J50" s="23">
        <v>160</v>
      </c>
      <c r="K50" s="24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</row>
    <row r="51" spans="1:32" ht="15.75" customHeight="1">
      <c r="A51" s="27" t="s">
        <v>55</v>
      </c>
      <c r="B51" s="32" t="s">
        <v>28</v>
      </c>
      <c r="C51" s="32" t="s">
        <v>14</v>
      </c>
      <c r="D51" s="31" t="str">
        <f>VLOOKUP(Table1[[#This Row],[Point of Origin]],Table2[#All],2,0)</f>
        <v>USA</v>
      </c>
      <c r="E51" s="31" t="str">
        <f>VLOOKUP(Table1[[#This Row],[Point of Origin]],Table2[#All],3,0)</f>
        <v>Domestic</v>
      </c>
      <c r="F51" s="34" t="s">
        <v>71</v>
      </c>
      <c r="G51" s="21" t="s">
        <v>72</v>
      </c>
      <c r="H51" s="22">
        <v>19</v>
      </c>
      <c r="I51" s="22">
        <f>Table1[[#This Row],[Total Weight Imported (lbs)]]*0.453592</f>
        <v>8.6182479999999995</v>
      </c>
      <c r="J51" s="23">
        <v>30.75</v>
      </c>
      <c r="K51" s="24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</row>
    <row r="52" spans="1:32" ht="15.75" customHeight="1">
      <c r="A52" s="27" t="s">
        <v>55</v>
      </c>
      <c r="B52" s="32" t="s">
        <v>28</v>
      </c>
      <c r="C52" s="32" t="s">
        <v>14</v>
      </c>
      <c r="D52" s="31" t="str">
        <f>VLOOKUP(Table1[[#This Row],[Point of Origin]],Table2[#All],2,0)</f>
        <v>USA</v>
      </c>
      <c r="E52" s="31" t="str">
        <f>VLOOKUP(Table1[[#This Row],[Point of Origin]],Table2[#All],3,0)</f>
        <v>Domestic</v>
      </c>
      <c r="F52" s="34" t="s">
        <v>71</v>
      </c>
      <c r="G52" s="21" t="s">
        <v>72</v>
      </c>
      <c r="H52" s="22">
        <v>608</v>
      </c>
      <c r="I52" s="22">
        <f>Table1[[#This Row],[Total Weight Imported (lbs)]]*0.453592</f>
        <v>275.78393599999998</v>
      </c>
      <c r="J52" s="23">
        <v>1136</v>
      </c>
      <c r="K52" s="24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</row>
    <row r="53" spans="1:32" ht="15.75" customHeight="1">
      <c r="A53" s="27" t="s">
        <v>55</v>
      </c>
      <c r="B53" s="32" t="s">
        <v>28</v>
      </c>
      <c r="C53" s="32" t="s">
        <v>14</v>
      </c>
      <c r="D53" s="31" t="str">
        <f>VLOOKUP(Table1[[#This Row],[Point of Origin]],Table2[#All],2,0)</f>
        <v>USA</v>
      </c>
      <c r="E53" s="31" t="str">
        <f>VLOOKUP(Table1[[#This Row],[Point of Origin]],Table2[#All],3,0)</f>
        <v>Domestic</v>
      </c>
      <c r="F53" s="34" t="s">
        <v>71</v>
      </c>
      <c r="G53" s="21" t="s">
        <v>72</v>
      </c>
      <c r="H53" s="22">
        <v>228</v>
      </c>
      <c r="I53" s="22">
        <f>Table1[[#This Row],[Total Weight Imported (lbs)]]*0.453592</f>
        <v>103.418976</v>
      </c>
      <c r="J53" s="23">
        <v>426</v>
      </c>
      <c r="K53" s="24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</row>
    <row r="54" spans="1:32" ht="15.75" customHeight="1">
      <c r="A54" s="27" t="s">
        <v>55</v>
      </c>
      <c r="B54" s="32" t="s">
        <v>28</v>
      </c>
      <c r="C54" s="32" t="s">
        <v>14</v>
      </c>
      <c r="D54" s="31" t="str">
        <f>VLOOKUP(Table1[[#This Row],[Point of Origin]],Table2[#All],2,0)</f>
        <v>USA</v>
      </c>
      <c r="E54" s="31" t="str">
        <f>VLOOKUP(Table1[[#This Row],[Point of Origin]],Table2[#All],3,0)</f>
        <v>Domestic</v>
      </c>
      <c r="F54" s="31" t="s">
        <v>59</v>
      </c>
      <c r="G54" s="21" t="s">
        <v>60</v>
      </c>
      <c r="H54" s="22">
        <v>405</v>
      </c>
      <c r="I54" s="22">
        <f>Table1[[#This Row],[Total Weight Imported (lbs)]]*0.453592</f>
        <v>183.70475999999999</v>
      </c>
      <c r="J54" s="23">
        <v>234</v>
      </c>
      <c r="K54" s="24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</row>
    <row r="55" spans="1:32" ht="15.75" customHeight="1">
      <c r="A55" s="27" t="s">
        <v>55</v>
      </c>
      <c r="B55" s="32" t="s">
        <v>28</v>
      </c>
      <c r="C55" s="32" t="s">
        <v>14</v>
      </c>
      <c r="D55" s="31" t="str">
        <f>VLOOKUP(Table1[[#This Row],[Point of Origin]],Table2[#All],2,0)</f>
        <v>USA</v>
      </c>
      <c r="E55" s="31" t="str">
        <f>VLOOKUP(Table1[[#This Row],[Point of Origin]],Table2[#All],3,0)</f>
        <v>Domestic</v>
      </c>
      <c r="F55" s="31" t="s">
        <v>36</v>
      </c>
      <c r="G55" s="21" t="s">
        <v>57</v>
      </c>
      <c r="H55" s="22">
        <v>60</v>
      </c>
      <c r="I55" s="22">
        <f>Table1[[#This Row],[Total Weight Imported (lbs)]]*0.453592</f>
        <v>27.215519999999998</v>
      </c>
      <c r="J55" s="23">
        <v>192</v>
      </c>
      <c r="K55" s="24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</row>
    <row r="56" spans="1:32" ht="15.75" customHeight="1">
      <c r="A56" s="27" t="s">
        <v>55</v>
      </c>
      <c r="B56" s="32" t="s">
        <v>28</v>
      </c>
      <c r="C56" s="32" t="s">
        <v>14</v>
      </c>
      <c r="D56" s="31" t="str">
        <f>VLOOKUP(Table1[[#This Row],[Point of Origin]],Table2[#All],2,0)</f>
        <v>USA</v>
      </c>
      <c r="E56" s="31" t="str">
        <f>VLOOKUP(Table1[[#This Row],[Point of Origin]],Table2[#All],3,0)</f>
        <v>Domestic</v>
      </c>
      <c r="F56" s="31" t="s">
        <v>73</v>
      </c>
      <c r="G56" s="21" t="s">
        <v>74</v>
      </c>
      <c r="H56" s="22">
        <v>40</v>
      </c>
      <c r="I56" s="22">
        <f>Table1[[#This Row],[Total Weight Imported (lbs)]]*0.453592</f>
        <v>18.14368</v>
      </c>
      <c r="J56" s="23">
        <v>160</v>
      </c>
      <c r="K56" s="33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</row>
    <row r="57" spans="1:32" ht="15.75" customHeight="1">
      <c r="A57" s="27" t="s">
        <v>55</v>
      </c>
      <c r="B57" s="32" t="s">
        <v>28</v>
      </c>
      <c r="C57" s="32" t="s">
        <v>14</v>
      </c>
      <c r="D57" s="31" t="str">
        <f>VLOOKUP(Table1[[#This Row],[Point of Origin]],Table2[#All],2,0)</f>
        <v>USA</v>
      </c>
      <c r="E57" s="31" t="str">
        <f>VLOOKUP(Table1[[#This Row],[Point of Origin]],Table2[#All],3,0)</f>
        <v>Domestic</v>
      </c>
      <c r="F57" s="31" t="s">
        <v>61</v>
      </c>
      <c r="G57" s="21" t="s">
        <v>62</v>
      </c>
      <c r="H57" s="22">
        <v>175</v>
      </c>
      <c r="I57" s="22">
        <f>Table1[[#This Row],[Total Weight Imported (lbs)]]*0.453592</f>
        <v>79.378600000000006</v>
      </c>
      <c r="J57" s="23">
        <v>301</v>
      </c>
      <c r="K57" s="24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</row>
    <row r="58" spans="1:32" ht="15.75" customHeight="1">
      <c r="A58" s="27" t="s">
        <v>55</v>
      </c>
      <c r="B58" s="32" t="s">
        <v>28</v>
      </c>
      <c r="C58" s="32" t="s">
        <v>14</v>
      </c>
      <c r="D58" s="31" t="str">
        <f>VLOOKUP(Table1[[#This Row],[Point of Origin]],Table2[#All],2,0)</f>
        <v>USA</v>
      </c>
      <c r="E58" s="31" t="str">
        <f>VLOOKUP(Table1[[#This Row],[Point of Origin]],Table2[#All],3,0)</f>
        <v>Domestic</v>
      </c>
      <c r="F58" s="31" t="s">
        <v>61</v>
      </c>
      <c r="G58" s="21" t="s">
        <v>62</v>
      </c>
      <c r="H58" s="22">
        <v>50</v>
      </c>
      <c r="I58" s="22">
        <f>Table1[[#This Row],[Total Weight Imported (lbs)]]*0.453592</f>
        <v>22.679600000000001</v>
      </c>
      <c r="J58" s="23">
        <v>83</v>
      </c>
      <c r="K58" s="24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</row>
    <row r="59" spans="1:32" ht="15.75" customHeight="1">
      <c r="A59" s="27" t="s">
        <v>55</v>
      </c>
      <c r="B59" s="32" t="s">
        <v>28</v>
      </c>
      <c r="C59" s="32" t="s">
        <v>14</v>
      </c>
      <c r="D59" s="31" t="str">
        <f>VLOOKUP(Table1[[#This Row],[Point of Origin]],Table2[#All],2,0)</f>
        <v>USA</v>
      </c>
      <c r="E59" s="31" t="str">
        <f>VLOOKUP(Table1[[#This Row],[Point of Origin]],Table2[#All],3,0)</f>
        <v>Domestic</v>
      </c>
      <c r="F59" s="31" t="s">
        <v>75</v>
      </c>
      <c r="G59" s="21" t="s">
        <v>70</v>
      </c>
      <c r="H59" s="22">
        <v>22.5</v>
      </c>
      <c r="I59" s="22">
        <f>Table1[[#This Row],[Total Weight Imported (lbs)]]*0.453592</f>
        <v>10.205819999999999</v>
      </c>
      <c r="J59" s="23">
        <v>200</v>
      </c>
      <c r="K59" s="33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</row>
    <row r="60" spans="1:32" ht="15.75" customHeight="1">
      <c r="A60" s="27" t="s">
        <v>55</v>
      </c>
      <c r="B60" s="32" t="s">
        <v>28</v>
      </c>
      <c r="C60" s="32" t="s">
        <v>14</v>
      </c>
      <c r="D60" s="31" t="str">
        <f>VLOOKUP(Table1[[#This Row],[Point of Origin]],Table2[#All],2,0)</f>
        <v>USA</v>
      </c>
      <c r="E60" s="31" t="str">
        <f>VLOOKUP(Table1[[#This Row],[Point of Origin]],Table2[#All],3,0)</f>
        <v>Domestic</v>
      </c>
      <c r="F60" s="31" t="s">
        <v>40</v>
      </c>
      <c r="G60" s="21" t="s">
        <v>41</v>
      </c>
      <c r="H60" s="22">
        <v>240</v>
      </c>
      <c r="I60" s="22">
        <f>Table1[[#This Row],[Total Weight Imported (lbs)]]*0.453592</f>
        <v>108.86207999999999</v>
      </c>
      <c r="J60" s="23">
        <v>240</v>
      </c>
      <c r="K60" s="24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</row>
    <row r="61" spans="1:32" ht="15.75" customHeight="1">
      <c r="A61" s="27" t="s">
        <v>55</v>
      </c>
      <c r="B61" s="32" t="s">
        <v>28</v>
      </c>
      <c r="C61" s="32" t="s">
        <v>14</v>
      </c>
      <c r="D61" s="31" t="str">
        <f>VLOOKUP(Table1[[#This Row],[Point of Origin]],Table2[#All],2,0)</f>
        <v>USA</v>
      </c>
      <c r="E61" s="31" t="str">
        <f>VLOOKUP(Table1[[#This Row],[Point of Origin]],Table2[#All],3,0)</f>
        <v>Domestic</v>
      </c>
      <c r="F61" s="31" t="s">
        <v>54</v>
      </c>
      <c r="G61" s="21" t="s">
        <v>30</v>
      </c>
      <c r="H61" s="22">
        <v>25</v>
      </c>
      <c r="I61" s="22">
        <f>Table1[[#This Row],[Total Weight Imported (lbs)]]*0.453592</f>
        <v>11.3398</v>
      </c>
      <c r="J61" s="23">
        <v>21</v>
      </c>
      <c r="K61" s="24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</row>
    <row r="62" spans="1:32" ht="15.75" customHeight="1">
      <c r="A62" s="27" t="s">
        <v>55</v>
      </c>
      <c r="B62" s="32" t="s">
        <v>46</v>
      </c>
      <c r="C62" s="32" t="s">
        <v>46</v>
      </c>
      <c r="D62" s="31" t="str">
        <f>VLOOKUP(Table1[[#This Row],[Point of Origin]],Table2[#All],2,0)</f>
        <v>Mexico</v>
      </c>
      <c r="E62" s="31" t="str">
        <f>VLOOKUP(Table1[[#This Row],[Point of Origin]],Table2[#All],3,0)</f>
        <v>International</v>
      </c>
      <c r="F62" s="31" t="s">
        <v>48</v>
      </c>
      <c r="G62" s="21" t="s">
        <v>49</v>
      </c>
      <c r="H62" s="22">
        <v>320</v>
      </c>
      <c r="I62" s="22">
        <f>Table1[[#This Row],[Total Weight Imported (lbs)]]*0.453592</f>
        <v>145.14944</v>
      </c>
      <c r="J62" s="23">
        <v>392</v>
      </c>
      <c r="K62" s="24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</row>
    <row r="63" spans="1:32" ht="15.75" customHeight="1">
      <c r="A63" s="27" t="s">
        <v>55</v>
      </c>
      <c r="B63" s="32" t="s">
        <v>46</v>
      </c>
      <c r="C63" s="32" t="s">
        <v>46</v>
      </c>
      <c r="D63" s="31" t="str">
        <f>VLOOKUP(Table1[[#This Row],[Point of Origin]],Table2[#All],2,0)</f>
        <v>Mexico</v>
      </c>
      <c r="E63" s="31" t="str">
        <f>VLOOKUP(Table1[[#This Row],[Point of Origin]],Table2[#All],3,0)</f>
        <v>International</v>
      </c>
      <c r="F63" s="31" t="s">
        <v>76</v>
      </c>
      <c r="G63" s="21" t="s">
        <v>77</v>
      </c>
      <c r="H63" s="22">
        <v>72</v>
      </c>
      <c r="I63" s="22">
        <f>Table1[[#This Row],[Total Weight Imported (lbs)]]*0.453592</f>
        <v>32.658624000000003</v>
      </c>
      <c r="J63" s="23">
        <v>127</v>
      </c>
      <c r="K63" s="33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</row>
    <row r="64" spans="1:32" ht="15.75" customHeight="1">
      <c r="A64" s="27" t="s">
        <v>55</v>
      </c>
      <c r="B64" s="32" t="s">
        <v>46</v>
      </c>
      <c r="C64" s="32" t="s">
        <v>46</v>
      </c>
      <c r="D64" s="31" t="str">
        <f>VLOOKUP(Table1[[#This Row],[Point of Origin]],Table2[#All],2,0)</f>
        <v>Mexico</v>
      </c>
      <c r="E64" s="31" t="str">
        <f>VLOOKUP(Table1[[#This Row],[Point of Origin]],Table2[#All],3,0)</f>
        <v>International</v>
      </c>
      <c r="F64" s="31" t="s">
        <v>38</v>
      </c>
      <c r="G64" s="21" t="s">
        <v>39</v>
      </c>
      <c r="H64" s="22">
        <v>156</v>
      </c>
      <c r="I64" s="22">
        <f>Table1[[#This Row],[Total Weight Imported (lbs)]]*0.453592</f>
        <v>70.760351999999997</v>
      </c>
      <c r="J64" s="23">
        <v>301.60000000000002</v>
      </c>
      <c r="K64" s="24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</row>
    <row r="65" spans="1:32" ht="15.75" customHeight="1">
      <c r="A65" s="27" t="s">
        <v>55</v>
      </c>
      <c r="B65" s="32" t="s">
        <v>46</v>
      </c>
      <c r="C65" s="32" t="s">
        <v>46</v>
      </c>
      <c r="D65" s="31" t="str">
        <f>VLOOKUP(Table1[[#This Row],[Point of Origin]],Table2[#All],2,0)</f>
        <v>Mexico</v>
      </c>
      <c r="E65" s="31" t="str">
        <f>VLOOKUP(Table1[[#This Row],[Point of Origin]],Table2[#All],3,0)</f>
        <v>International</v>
      </c>
      <c r="F65" s="31" t="s">
        <v>38</v>
      </c>
      <c r="G65" s="21" t="s">
        <v>39</v>
      </c>
      <c r="H65" s="22">
        <v>594</v>
      </c>
      <c r="I65" s="22">
        <f>Table1[[#This Row],[Total Weight Imported (lbs)]]*0.453592</f>
        <v>269.43364800000001</v>
      </c>
      <c r="J65" s="23">
        <v>757.35</v>
      </c>
      <c r="K65" s="24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</row>
    <row r="66" spans="1:32" ht="15.75" customHeight="1">
      <c r="A66" s="28" t="s">
        <v>78</v>
      </c>
      <c r="B66" s="28" t="s">
        <v>28</v>
      </c>
      <c r="C66" s="28" t="s">
        <v>14</v>
      </c>
      <c r="D66" s="28" t="str">
        <f>VLOOKUP(Table1[[#This Row],[Point of Origin]],Table2[#All],2,0)</f>
        <v>USA</v>
      </c>
      <c r="E66" s="28" t="str">
        <f>VLOOKUP(Table1[[#This Row],[Point of Origin]],Table2[#All],3,0)</f>
        <v>Domestic</v>
      </c>
      <c r="F66" s="28" t="s">
        <v>40</v>
      </c>
      <c r="G66" s="21" t="s">
        <v>41</v>
      </c>
      <c r="H66" s="22">
        <v>150</v>
      </c>
      <c r="I66" s="22">
        <f>Table1[[#This Row],[Total Weight Imported (lbs)]]*0.453592</f>
        <v>68.038799999999995</v>
      </c>
      <c r="J66" s="23">
        <v>152.5</v>
      </c>
      <c r="K66" s="24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</row>
    <row r="67" spans="1:32" ht="15.75" customHeight="1">
      <c r="A67" s="28" t="s">
        <v>78</v>
      </c>
      <c r="B67" s="28" t="s">
        <v>28</v>
      </c>
      <c r="C67" s="28" t="s">
        <v>14</v>
      </c>
      <c r="D67" s="28" t="str">
        <f>VLOOKUP(Table1[[#This Row],[Point of Origin]],Table2[#All],2,0)</f>
        <v>USA</v>
      </c>
      <c r="E67" s="28" t="str">
        <f>VLOOKUP(Table1[[#This Row],[Point of Origin]],Table2[#All],3,0)</f>
        <v>Domestic</v>
      </c>
      <c r="F67" s="28" t="s">
        <v>79</v>
      </c>
      <c r="G67" s="21" t="s">
        <v>80</v>
      </c>
      <c r="H67" s="22">
        <v>100</v>
      </c>
      <c r="I67" s="22">
        <f>Table1[[#This Row],[Total Weight Imported (lbs)]]*0.453592</f>
        <v>45.359200000000001</v>
      </c>
      <c r="J67" s="23">
        <v>96</v>
      </c>
      <c r="K67" s="33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</row>
    <row r="68" spans="1:32" ht="15.75" customHeight="1">
      <c r="A68" s="28" t="s">
        <v>78</v>
      </c>
      <c r="B68" s="28" t="s">
        <v>28</v>
      </c>
      <c r="C68" s="28" t="s">
        <v>14</v>
      </c>
      <c r="D68" s="28" t="str">
        <f>VLOOKUP(Table1[[#This Row],[Point of Origin]],Table2[#All],2,0)</f>
        <v>USA</v>
      </c>
      <c r="E68" s="28" t="str">
        <f>VLOOKUP(Table1[[#This Row],[Point of Origin]],Table2[#All],3,0)</f>
        <v>Domestic</v>
      </c>
      <c r="F68" s="35" t="s">
        <v>71</v>
      </c>
      <c r="G68" s="21" t="s">
        <v>72</v>
      </c>
      <c r="H68" s="22">
        <v>475</v>
      </c>
      <c r="I68" s="22">
        <f>Table1[[#This Row],[Total Weight Imported (lbs)]]*0.453592</f>
        <v>215.4562</v>
      </c>
      <c r="J68" s="23">
        <v>850</v>
      </c>
      <c r="K68" s="24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</row>
    <row r="69" spans="1:32" ht="15.75" customHeight="1">
      <c r="A69" s="28" t="s">
        <v>78</v>
      </c>
      <c r="B69" s="28" t="s">
        <v>28</v>
      </c>
      <c r="C69" s="28" t="s">
        <v>14</v>
      </c>
      <c r="D69" s="28" t="str">
        <f>VLOOKUP(Table1[[#This Row],[Point of Origin]],Table2[#All],2,0)</f>
        <v>USA</v>
      </c>
      <c r="E69" s="28" t="str">
        <f>VLOOKUP(Table1[[#This Row],[Point of Origin]],Table2[#All],3,0)</f>
        <v>Domestic</v>
      </c>
      <c r="F69" s="35" t="s">
        <v>71</v>
      </c>
      <c r="G69" s="21" t="s">
        <v>72</v>
      </c>
      <c r="H69" s="22">
        <v>190</v>
      </c>
      <c r="I69" s="22">
        <f>Table1[[#This Row],[Total Weight Imported (lbs)]]*0.453592</f>
        <v>86.182479999999998</v>
      </c>
      <c r="J69" s="23">
        <v>340</v>
      </c>
      <c r="K69" s="24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</row>
    <row r="70" spans="1:32" ht="15.75" customHeight="1">
      <c r="A70" s="28" t="s">
        <v>78</v>
      </c>
      <c r="B70" s="28" t="s">
        <v>28</v>
      </c>
      <c r="C70" s="28" t="s">
        <v>14</v>
      </c>
      <c r="D70" s="28" t="str">
        <f>VLOOKUP(Table1[[#This Row],[Point of Origin]],Table2[#All],2,0)</f>
        <v>USA</v>
      </c>
      <c r="E70" s="28" t="str">
        <f>VLOOKUP(Table1[[#This Row],[Point of Origin]],Table2[#All],3,0)</f>
        <v>Domestic</v>
      </c>
      <c r="F70" s="28" t="s">
        <v>59</v>
      </c>
      <c r="G70" s="21" t="s">
        <v>60</v>
      </c>
      <c r="H70" s="22">
        <v>360</v>
      </c>
      <c r="I70" s="22">
        <f>Table1[[#This Row],[Total Weight Imported (lbs)]]*0.453592</f>
        <v>163.29311999999999</v>
      </c>
      <c r="J70" s="23">
        <v>200</v>
      </c>
      <c r="K70" s="24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</row>
    <row r="71" spans="1:32" ht="15.75" customHeight="1">
      <c r="A71" s="28" t="s">
        <v>78</v>
      </c>
      <c r="B71" s="28" t="s">
        <v>28</v>
      </c>
      <c r="C71" s="28" t="s">
        <v>14</v>
      </c>
      <c r="D71" s="28" t="str">
        <f>VLOOKUP(Table1[[#This Row],[Point of Origin]],Table2[#All],2,0)</f>
        <v>USA</v>
      </c>
      <c r="E71" s="28" t="str">
        <f>VLOOKUP(Table1[[#This Row],[Point of Origin]],Table2[#All],3,0)</f>
        <v>Domestic</v>
      </c>
      <c r="F71" s="28" t="s">
        <v>81</v>
      </c>
      <c r="G71" s="21" t="s">
        <v>62</v>
      </c>
      <c r="H71" s="22">
        <v>100</v>
      </c>
      <c r="I71" s="22">
        <f>Table1[[#This Row],[Total Weight Imported (lbs)]]*0.453592</f>
        <v>45.359200000000001</v>
      </c>
      <c r="J71" s="23">
        <v>148</v>
      </c>
      <c r="K71" s="24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</row>
    <row r="72" spans="1:32" ht="15.75" customHeight="1">
      <c r="A72" s="28" t="s">
        <v>78</v>
      </c>
      <c r="B72" s="28" t="s">
        <v>28</v>
      </c>
      <c r="C72" s="28" t="s">
        <v>14</v>
      </c>
      <c r="D72" s="28" t="str">
        <f>VLOOKUP(Table1[[#This Row],[Point of Origin]],Table2[#All],2,0)</f>
        <v>USA</v>
      </c>
      <c r="E72" s="28" t="str">
        <f>VLOOKUP(Table1[[#This Row],[Point of Origin]],Table2[#All],3,0)</f>
        <v>Domestic</v>
      </c>
      <c r="F72" s="28" t="s">
        <v>82</v>
      </c>
      <c r="G72" s="21" t="s">
        <v>20</v>
      </c>
      <c r="H72" s="22">
        <v>30</v>
      </c>
      <c r="I72" s="22">
        <f>Table1[[#This Row],[Total Weight Imported (lbs)]]*0.453592</f>
        <v>13.607759999999999</v>
      </c>
      <c r="J72" s="23">
        <v>35.5</v>
      </c>
      <c r="K72" s="24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</row>
    <row r="73" spans="1:32" ht="15.75" customHeight="1">
      <c r="A73" s="28" t="s">
        <v>78</v>
      </c>
      <c r="B73" s="28" t="s">
        <v>28</v>
      </c>
      <c r="C73" s="28" t="s">
        <v>14</v>
      </c>
      <c r="D73" s="28" t="str">
        <f>VLOOKUP(Table1[[#This Row],[Point of Origin]],Table2[#All],2,0)</f>
        <v>USA</v>
      </c>
      <c r="E73" s="28" t="str">
        <f>VLOOKUP(Table1[[#This Row],[Point of Origin]],Table2[#All],3,0)</f>
        <v>Domestic</v>
      </c>
      <c r="F73" s="28" t="s">
        <v>19</v>
      </c>
      <c r="G73" s="21" t="s">
        <v>20</v>
      </c>
      <c r="H73" s="22">
        <v>12</v>
      </c>
      <c r="I73" s="22">
        <f>Table1[[#This Row],[Total Weight Imported (lbs)]]*0.453592</f>
        <v>5.4431039999999999</v>
      </c>
      <c r="J73" s="23">
        <v>31.5</v>
      </c>
      <c r="K73" s="24"/>
    </row>
    <row r="74" spans="1:32" ht="15.75" customHeight="1">
      <c r="A74" s="28" t="s">
        <v>78</v>
      </c>
      <c r="B74" s="28" t="s">
        <v>28</v>
      </c>
      <c r="C74" s="28" t="s">
        <v>14</v>
      </c>
      <c r="D74" s="28" t="str">
        <f>VLOOKUP(Table1[[#This Row],[Point of Origin]],Table2[#All],2,0)</f>
        <v>USA</v>
      </c>
      <c r="E74" s="28" t="str">
        <f>VLOOKUP(Table1[[#This Row],[Point of Origin]],Table2[#All],3,0)</f>
        <v>Domestic</v>
      </c>
      <c r="F74" s="28" t="s">
        <v>83</v>
      </c>
      <c r="G74" s="21" t="s">
        <v>32</v>
      </c>
      <c r="H74" s="22">
        <v>25</v>
      </c>
      <c r="I74" s="22">
        <f>Table1[[#This Row],[Total Weight Imported (lbs)]]*0.453592</f>
        <v>11.3398</v>
      </c>
      <c r="J74" s="23">
        <v>49</v>
      </c>
      <c r="K74" s="24"/>
    </row>
    <row r="75" spans="1:32" ht="15.75" customHeight="1">
      <c r="A75" s="28" t="s">
        <v>78</v>
      </c>
      <c r="B75" s="28" t="s">
        <v>28</v>
      </c>
      <c r="C75" s="28" t="s">
        <v>14</v>
      </c>
      <c r="D75" s="28" t="str">
        <f>VLOOKUP(Table1[[#This Row],[Point of Origin]],Table2[#All],2,0)</f>
        <v>USA</v>
      </c>
      <c r="E75" s="28" t="str">
        <f>VLOOKUP(Table1[[#This Row],[Point of Origin]],Table2[#All],3,0)</f>
        <v>Domestic</v>
      </c>
      <c r="F75" s="28" t="s">
        <v>84</v>
      </c>
      <c r="G75" s="21" t="s">
        <v>85</v>
      </c>
      <c r="H75" s="22">
        <v>50</v>
      </c>
      <c r="I75" s="22">
        <f>Table1[[#This Row],[Total Weight Imported (lbs)]]*0.453592</f>
        <v>22.679600000000001</v>
      </c>
      <c r="J75" s="23">
        <v>71</v>
      </c>
      <c r="K75" s="33"/>
    </row>
    <row r="76" spans="1:32" ht="15.75" customHeight="1">
      <c r="A76" s="28" t="s">
        <v>78</v>
      </c>
      <c r="B76" s="28" t="s">
        <v>28</v>
      </c>
      <c r="C76" s="28" t="s">
        <v>14</v>
      </c>
      <c r="D76" s="28" t="str">
        <f>VLOOKUP(Table1[[#This Row],[Point of Origin]],Table2[#All],2,0)</f>
        <v>USA</v>
      </c>
      <c r="E76" s="28" t="str">
        <f>VLOOKUP(Table1[[#This Row],[Point of Origin]],Table2[#All],3,0)</f>
        <v>Domestic</v>
      </c>
      <c r="F76" s="35" t="s">
        <v>71</v>
      </c>
      <c r="G76" s="21" t="s">
        <v>72</v>
      </c>
      <c r="H76" s="22">
        <v>19</v>
      </c>
      <c r="I76" s="22">
        <f>Table1[[#This Row],[Total Weight Imported (lbs)]]*0.453592</f>
        <v>8.6182479999999995</v>
      </c>
      <c r="J76" s="23">
        <v>36.5</v>
      </c>
      <c r="K76" s="24"/>
    </row>
    <row r="77" spans="1:32" ht="15.75" customHeight="1">
      <c r="A77" s="28" t="s">
        <v>78</v>
      </c>
      <c r="B77" s="28" t="s">
        <v>28</v>
      </c>
      <c r="C77" s="28" t="s">
        <v>14</v>
      </c>
      <c r="D77" s="28" t="str">
        <f>VLOOKUP(Table1[[#This Row],[Point of Origin]],Table2[#All],2,0)</f>
        <v>USA</v>
      </c>
      <c r="E77" s="28" t="str">
        <f>VLOOKUP(Table1[[#This Row],[Point of Origin]],Table2[#All],3,0)</f>
        <v>Domestic</v>
      </c>
      <c r="F77" s="28" t="s">
        <v>17</v>
      </c>
      <c r="G77" s="21" t="s">
        <v>18</v>
      </c>
      <c r="H77" s="22">
        <v>20</v>
      </c>
      <c r="I77" s="22">
        <f>Table1[[#This Row],[Total Weight Imported (lbs)]]*0.453592</f>
        <v>9.0718399999999999</v>
      </c>
      <c r="J77" s="23">
        <v>40.299999999999997</v>
      </c>
      <c r="K77" s="24"/>
    </row>
    <row r="78" spans="1:32" ht="15.75" customHeight="1">
      <c r="A78" s="28" t="s">
        <v>78</v>
      </c>
      <c r="B78" s="28" t="s">
        <v>28</v>
      </c>
      <c r="C78" s="28" t="s">
        <v>14</v>
      </c>
      <c r="D78" s="28" t="str">
        <f>VLOOKUP(Table1[[#This Row],[Point of Origin]],Table2[#All],2,0)</f>
        <v>USA</v>
      </c>
      <c r="E78" s="28" t="str">
        <f>VLOOKUP(Table1[[#This Row],[Point of Origin]],Table2[#All],3,0)</f>
        <v>Domestic</v>
      </c>
      <c r="F78" s="28" t="s">
        <v>17</v>
      </c>
      <c r="G78" s="21" t="s">
        <v>18</v>
      </c>
      <c r="H78" s="22">
        <v>28</v>
      </c>
      <c r="I78" s="22">
        <f>Table1[[#This Row],[Total Weight Imported (lbs)]]*0.453592</f>
        <v>12.700576</v>
      </c>
      <c r="J78" s="23">
        <v>54.9</v>
      </c>
      <c r="K78" s="24"/>
    </row>
    <row r="79" spans="1:32" ht="15.75" customHeight="1">
      <c r="A79" s="28" t="s">
        <v>78</v>
      </c>
      <c r="B79" s="28" t="s">
        <v>28</v>
      </c>
      <c r="C79" s="28" t="s">
        <v>14</v>
      </c>
      <c r="D79" s="28" t="str">
        <f>VLOOKUP(Table1[[#This Row],[Point of Origin]],Table2[#All],2,0)</f>
        <v>USA</v>
      </c>
      <c r="E79" s="28" t="str">
        <f>VLOOKUP(Table1[[#This Row],[Point of Origin]],Table2[#All],3,0)</f>
        <v>Domestic</v>
      </c>
      <c r="F79" s="28" t="s">
        <v>86</v>
      </c>
      <c r="G79" s="21" t="s">
        <v>70</v>
      </c>
      <c r="H79" s="22">
        <v>4.5</v>
      </c>
      <c r="I79" s="22">
        <f>Table1[[#This Row],[Total Weight Imported (lbs)]]*0.453592</f>
        <v>2.0411640000000002</v>
      </c>
      <c r="J79" s="23">
        <v>1326.25</v>
      </c>
      <c r="K79" s="24"/>
    </row>
    <row r="80" spans="1:32" ht="15.75" customHeight="1">
      <c r="A80" s="28" t="s">
        <v>78</v>
      </c>
      <c r="B80" s="28" t="s">
        <v>28</v>
      </c>
      <c r="C80" s="28" t="s">
        <v>14</v>
      </c>
      <c r="D80" s="28" t="str">
        <f>VLOOKUP(Table1[[#This Row],[Point of Origin]],Table2[#All],2,0)</f>
        <v>USA</v>
      </c>
      <c r="E80" s="28" t="str">
        <f>VLOOKUP(Table1[[#This Row],[Point of Origin]],Table2[#All],3,0)</f>
        <v>Domestic</v>
      </c>
      <c r="F80" s="28" t="s">
        <v>56</v>
      </c>
      <c r="G80" s="21" t="s">
        <v>57</v>
      </c>
      <c r="H80" s="22">
        <v>55</v>
      </c>
      <c r="I80" s="22">
        <f>Table1[[#This Row],[Total Weight Imported (lbs)]]*0.453592</f>
        <v>24.947559999999999</v>
      </c>
      <c r="J80" s="23">
        <v>50.9</v>
      </c>
      <c r="K80" s="24"/>
    </row>
    <row r="81" spans="1:11" ht="15.75" customHeight="1">
      <c r="A81" s="28" t="s">
        <v>78</v>
      </c>
      <c r="B81" s="28" t="s">
        <v>28</v>
      </c>
      <c r="C81" s="28" t="s">
        <v>14</v>
      </c>
      <c r="D81" s="28" t="str">
        <f>VLOOKUP(Table1[[#This Row],[Point of Origin]],Table2[#All],2,0)</f>
        <v>USA</v>
      </c>
      <c r="E81" s="28" t="str">
        <f>VLOOKUP(Table1[[#This Row],[Point of Origin]],Table2[#All],3,0)</f>
        <v>Domestic</v>
      </c>
      <c r="F81" s="28" t="s">
        <v>59</v>
      </c>
      <c r="G81" s="21" t="s">
        <v>60</v>
      </c>
      <c r="H81" s="22">
        <v>35</v>
      </c>
      <c r="I81" s="22">
        <f>Table1[[#This Row],[Total Weight Imported (lbs)]]*0.453592</f>
        <v>15.875719999999999</v>
      </c>
      <c r="J81" s="23">
        <v>327.2</v>
      </c>
      <c r="K81" s="33"/>
    </row>
    <row r="82" spans="1:11" ht="15.75" customHeight="1">
      <c r="A82" s="28" t="s">
        <v>78</v>
      </c>
      <c r="B82" s="28" t="s">
        <v>28</v>
      </c>
      <c r="C82" s="28" t="s">
        <v>14</v>
      </c>
      <c r="D82" s="28" t="str">
        <f>VLOOKUP(Table1[[#This Row],[Point of Origin]],Table2[#All],2,0)</f>
        <v>USA</v>
      </c>
      <c r="E82" s="28" t="str">
        <f>VLOOKUP(Table1[[#This Row],[Point of Origin]],Table2[#All],3,0)</f>
        <v>Domestic</v>
      </c>
      <c r="F82" s="28" t="s">
        <v>87</v>
      </c>
      <c r="G82" s="21" t="s">
        <v>20</v>
      </c>
      <c r="H82" s="22">
        <v>20</v>
      </c>
      <c r="I82" s="22">
        <f>Table1[[#This Row],[Total Weight Imported (lbs)]]*0.453592</f>
        <v>9.0718399999999999</v>
      </c>
      <c r="J82" s="23">
        <v>18.95</v>
      </c>
      <c r="K82" s="24"/>
    </row>
    <row r="83" spans="1:11" ht="15.75" customHeight="1">
      <c r="A83" s="28" t="s">
        <v>78</v>
      </c>
      <c r="B83" s="28" t="s">
        <v>28</v>
      </c>
      <c r="C83" s="28" t="s">
        <v>14</v>
      </c>
      <c r="D83" s="28" t="str">
        <f>VLOOKUP(Table1[[#This Row],[Point of Origin]],Table2[#All],2,0)</f>
        <v>USA</v>
      </c>
      <c r="E83" s="28" t="str">
        <f>VLOOKUP(Table1[[#This Row],[Point of Origin]],Table2[#All],3,0)</f>
        <v>Domestic</v>
      </c>
      <c r="F83" s="28" t="s">
        <v>81</v>
      </c>
      <c r="G83" s="21" t="s">
        <v>62</v>
      </c>
      <c r="H83" s="22">
        <v>36</v>
      </c>
      <c r="I83" s="22">
        <f>Table1[[#This Row],[Total Weight Imported (lbs)]]*0.453592</f>
        <v>16.329312000000002</v>
      </c>
      <c r="J83" s="23">
        <v>61</v>
      </c>
      <c r="K83" s="24"/>
    </row>
    <row r="84" spans="1:11" ht="15.75" customHeight="1">
      <c r="A84" s="28" t="s">
        <v>78</v>
      </c>
      <c r="B84" s="28" t="s">
        <v>28</v>
      </c>
      <c r="C84" s="28" t="s">
        <v>14</v>
      </c>
      <c r="D84" s="28" t="str">
        <f>VLOOKUP(Table1[[#This Row],[Point of Origin]],Table2[#All],2,0)</f>
        <v>USA</v>
      </c>
      <c r="E84" s="28" t="str">
        <f>VLOOKUP(Table1[[#This Row],[Point of Origin]],Table2[#All],3,0)</f>
        <v>Domestic</v>
      </c>
      <c r="F84" s="28" t="s">
        <v>81</v>
      </c>
      <c r="G84" s="21" t="s">
        <v>62</v>
      </c>
      <c r="H84" s="22">
        <v>24</v>
      </c>
      <c r="I84" s="22">
        <f>Table1[[#This Row],[Total Weight Imported (lbs)]]*0.453592</f>
        <v>10.886208</v>
      </c>
      <c r="J84" s="23">
        <v>301.95</v>
      </c>
      <c r="K84" s="24"/>
    </row>
    <row r="85" spans="1:11" ht="15.75" customHeight="1">
      <c r="A85" s="28" t="s">
        <v>78</v>
      </c>
      <c r="B85" s="28" t="s">
        <v>28</v>
      </c>
      <c r="C85" s="28" t="s">
        <v>14</v>
      </c>
      <c r="D85" s="28" t="str">
        <f>VLOOKUP(Table1[[#This Row],[Point of Origin]],Table2[#All],2,0)</f>
        <v>USA</v>
      </c>
      <c r="E85" s="28" t="str">
        <f>VLOOKUP(Table1[[#This Row],[Point of Origin]],Table2[#All],3,0)</f>
        <v>Domestic</v>
      </c>
      <c r="F85" s="28" t="s">
        <v>65</v>
      </c>
      <c r="G85" s="21" t="s">
        <v>66</v>
      </c>
      <c r="H85" s="22">
        <v>8</v>
      </c>
      <c r="I85" s="22">
        <f>Table1[[#This Row],[Total Weight Imported (lbs)]]*0.453592</f>
        <v>3.628736</v>
      </c>
      <c r="J85" s="23">
        <v>751.8</v>
      </c>
      <c r="K85" s="24"/>
    </row>
    <row r="86" spans="1:11" ht="15.75" customHeight="1">
      <c r="A86" s="28" t="s">
        <v>78</v>
      </c>
      <c r="B86" s="28" t="s">
        <v>88</v>
      </c>
      <c r="C86" s="28" t="s">
        <v>88</v>
      </c>
      <c r="D86" s="28" t="str">
        <f>VLOOKUP(Table1[[#This Row],[Point of Origin]],Table2[#All],2,0)</f>
        <v>Canada</v>
      </c>
      <c r="E86" s="28" t="str">
        <f>VLOOKUP(Table1[[#This Row],[Point of Origin]],Table2[#All],3,0)</f>
        <v>International</v>
      </c>
      <c r="F86" s="28" t="s">
        <v>36</v>
      </c>
      <c r="G86" s="21" t="s">
        <v>57</v>
      </c>
      <c r="H86" s="22">
        <v>10</v>
      </c>
      <c r="I86" s="22">
        <f>Table1[[#This Row],[Total Weight Imported (lbs)]]*0.453592</f>
        <v>4.53592</v>
      </c>
      <c r="J86" s="23">
        <v>201.3</v>
      </c>
      <c r="K86" s="24"/>
    </row>
    <row r="87" spans="1:11" ht="15.75" customHeight="1">
      <c r="A87" s="28" t="s">
        <v>78</v>
      </c>
      <c r="B87" s="28" t="s">
        <v>89</v>
      </c>
      <c r="C87" s="28" t="s">
        <v>14</v>
      </c>
      <c r="D87" s="28" t="str">
        <f>VLOOKUP(Table1[[#This Row],[Point of Origin]],Table2[#All],2,0)</f>
        <v>USA</v>
      </c>
      <c r="E87" s="28" t="str">
        <f>VLOOKUP(Table1[[#This Row],[Point of Origin]],Table2[#All],3,0)</f>
        <v>Domestic</v>
      </c>
      <c r="F87" s="29" t="s">
        <v>73</v>
      </c>
      <c r="G87" s="21" t="s">
        <v>74</v>
      </c>
      <c r="H87" s="22">
        <v>60</v>
      </c>
      <c r="I87" s="22">
        <f>Table1[[#This Row],[Total Weight Imported (lbs)]]*0.453592</f>
        <v>27.215519999999998</v>
      </c>
      <c r="J87" s="23">
        <v>252</v>
      </c>
      <c r="K87" s="33"/>
    </row>
    <row r="88" spans="1:11" ht="15.75" customHeight="1">
      <c r="A88" s="28" t="s">
        <v>78</v>
      </c>
      <c r="B88" s="28" t="s">
        <v>46</v>
      </c>
      <c r="C88" s="28" t="s">
        <v>46</v>
      </c>
      <c r="D88" s="28" t="str">
        <f>VLOOKUP(Table1[[#This Row],[Point of Origin]],Table2[#All],2,0)</f>
        <v>Mexico</v>
      </c>
      <c r="E88" s="28" t="str">
        <f>VLOOKUP(Table1[[#This Row],[Point of Origin]],Table2[#All],3,0)</f>
        <v>International</v>
      </c>
      <c r="F88" s="28" t="s">
        <v>67</v>
      </c>
      <c r="G88" s="21" t="s">
        <v>68</v>
      </c>
      <c r="H88" s="22">
        <v>125</v>
      </c>
      <c r="I88" s="22">
        <f>Table1[[#This Row],[Total Weight Imported (lbs)]]*0.453592</f>
        <v>56.698999999999998</v>
      </c>
      <c r="J88" s="23">
        <v>282.5</v>
      </c>
      <c r="K88" s="24"/>
    </row>
    <row r="89" spans="1:11" ht="15.75" customHeight="1">
      <c r="A89" s="28" t="s">
        <v>78</v>
      </c>
      <c r="B89" s="28" t="s">
        <v>46</v>
      </c>
      <c r="C89" s="28" t="s">
        <v>46</v>
      </c>
      <c r="D89" s="28" t="str">
        <f>VLOOKUP(Table1[[#This Row],[Point of Origin]],Table2[#All],2,0)</f>
        <v>Mexico</v>
      </c>
      <c r="E89" s="28" t="str">
        <f>VLOOKUP(Table1[[#This Row],[Point of Origin]],Table2[#All],3,0)</f>
        <v>International</v>
      </c>
      <c r="F89" s="56" t="s">
        <v>23</v>
      </c>
      <c r="G89" s="21" t="s">
        <v>24</v>
      </c>
      <c r="H89" s="22">
        <v>400</v>
      </c>
      <c r="I89" s="22">
        <f>Table1[[#This Row],[Total Weight Imported (lbs)]]*0.453592</f>
        <v>181.43680000000001</v>
      </c>
      <c r="J89" s="23">
        <v>336</v>
      </c>
      <c r="K89" s="24"/>
    </row>
    <row r="90" spans="1:11" ht="15.75" customHeight="1">
      <c r="A90" s="28" t="s">
        <v>78</v>
      </c>
      <c r="B90" s="28" t="s">
        <v>46</v>
      </c>
      <c r="C90" s="28" t="s">
        <v>46</v>
      </c>
      <c r="D90" s="28" t="str">
        <f>VLOOKUP(Table1[[#This Row],[Point of Origin]],Table2[#All],2,0)</f>
        <v>Mexico</v>
      </c>
      <c r="E90" s="28" t="str">
        <f>VLOOKUP(Table1[[#This Row],[Point of Origin]],Table2[#All],3,0)</f>
        <v>International</v>
      </c>
      <c r="F90" s="28" t="s">
        <v>54</v>
      </c>
      <c r="G90" s="21" t="s">
        <v>30</v>
      </c>
      <c r="H90" s="22">
        <v>25</v>
      </c>
      <c r="I90" s="22">
        <f>Table1[[#This Row],[Total Weight Imported (lbs)]]*0.453592</f>
        <v>11.3398</v>
      </c>
      <c r="J90" s="23">
        <v>21.5</v>
      </c>
      <c r="K90" s="24"/>
    </row>
    <row r="91" spans="1:11" ht="15.75" customHeight="1">
      <c r="A91" s="28" t="s">
        <v>78</v>
      </c>
      <c r="B91" s="28" t="s">
        <v>46</v>
      </c>
      <c r="C91" s="28" t="s">
        <v>46</v>
      </c>
      <c r="D91" s="28" t="str">
        <f>VLOOKUP(Table1[[#This Row],[Point of Origin]],Table2[#All],2,0)</f>
        <v>Mexico</v>
      </c>
      <c r="E91" s="28" t="str">
        <f>VLOOKUP(Table1[[#This Row],[Point of Origin]],Table2[#All],3,0)</f>
        <v>International</v>
      </c>
      <c r="F91" s="28" t="s">
        <v>58</v>
      </c>
      <c r="G91" s="21" t="s">
        <v>34</v>
      </c>
      <c r="H91" s="22">
        <v>44</v>
      </c>
      <c r="I91" s="22">
        <f>Table1[[#This Row],[Total Weight Imported (lbs)]]*0.453592</f>
        <v>19.958047999999998</v>
      </c>
      <c r="J91" s="23">
        <v>96</v>
      </c>
      <c r="K91" s="24"/>
    </row>
    <row r="92" spans="1:11" ht="15.75" customHeight="1">
      <c r="A92" s="28" t="s">
        <v>78</v>
      </c>
      <c r="B92" s="28" t="s">
        <v>46</v>
      </c>
      <c r="C92" s="28" t="s">
        <v>46</v>
      </c>
      <c r="D92" s="28" t="str">
        <f>VLOOKUP(Table1[[#This Row],[Point of Origin]],Table2[#All],2,0)</f>
        <v>Mexico</v>
      </c>
      <c r="E92" s="28" t="str">
        <f>VLOOKUP(Table1[[#This Row],[Point of Origin]],Table2[#All],3,0)</f>
        <v>International</v>
      </c>
      <c r="F92" s="28" t="s">
        <v>90</v>
      </c>
      <c r="G92" s="21" t="s">
        <v>27</v>
      </c>
      <c r="H92" s="22">
        <v>95</v>
      </c>
      <c r="I92" s="22">
        <f>Table1[[#This Row],[Total Weight Imported (lbs)]]*0.453592</f>
        <v>43.091239999999999</v>
      </c>
      <c r="J92" s="23">
        <v>1050</v>
      </c>
      <c r="K92" s="33"/>
    </row>
    <row r="93" spans="1:11" ht="15.75" customHeight="1">
      <c r="A93" s="28" t="s">
        <v>78</v>
      </c>
      <c r="B93" s="28" t="s">
        <v>46</v>
      </c>
      <c r="C93" s="28" t="s">
        <v>46</v>
      </c>
      <c r="D93" s="28" t="str">
        <f>VLOOKUP(Table1[[#This Row],[Point of Origin]],Table2[#All],2,0)</f>
        <v>Mexico</v>
      </c>
      <c r="E93" s="28" t="str">
        <f>VLOOKUP(Table1[[#This Row],[Point of Origin]],Table2[#All],3,0)</f>
        <v>International</v>
      </c>
      <c r="F93" s="28" t="s">
        <v>63</v>
      </c>
      <c r="G93" s="21" t="s">
        <v>64</v>
      </c>
      <c r="H93" s="22">
        <v>22</v>
      </c>
      <c r="I93" s="22">
        <f>Table1[[#This Row],[Total Weight Imported (lbs)]]*0.453592</f>
        <v>9.979023999999999</v>
      </c>
      <c r="J93" s="23">
        <v>49.5</v>
      </c>
      <c r="K93" s="33"/>
    </row>
    <row r="94" spans="1:11" ht="15.75" customHeight="1">
      <c r="A94" s="28" t="s">
        <v>78</v>
      </c>
      <c r="B94" s="28" t="s">
        <v>46</v>
      </c>
      <c r="C94" s="28" t="s">
        <v>46</v>
      </c>
      <c r="D94" s="28" t="str">
        <f>VLOOKUP(Table1[[#This Row],[Point of Origin]],Table2[#All],2,0)</f>
        <v>Mexico</v>
      </c>
      <c r="E94" s="28" t="str">
        <f>VLOOKUP(Table1[[#This Row],[Point of Origin]],Table2[#All],3,0)</f>
        <v>International</v>
      </c>
      <c r="F94" s="28" t="s">
        <v>38</v>
      </c>
      <c r="G94" s="21" t="s">
        <v>39</v>
      </c>
      <c r="H94" s="22">
        <v>12</v>
      </c>
      <c r="I94" s="22">
        <f>Table1[[#This Row],[Total Weight Imported (lbs)]]*0.453592</f>
        <v>5.4431039999999999</v>
      </c>
      <c r="J94" s="23">
        <v>71.400000000000006</v>
      </c>
      <c r="K94" s="24"/>
    </row>
    <row r="95" spans="1:11" ht="15.75" customHeight="1">
      <c r="A95" s="28" t="s">
        <v>78</v>
      </c>
      <c r="B95" s="28" t="s">
        <v>46</v>
      </c>
      <c r="C95" s="28" t="s">
        <v>46</v>
      </c>
      <c r="D95" s="28" t="str">
        <f>VLOOKUP(Table1[[#This Row],[Point of Origin]],Table2[#All],2,0)</f>
        <v>Mexico</v>
      </c>
      <c r="E95" s="28" t="str">
        <f>VLOOKUP(Table1[[#This Row],[Point of Origin]],Table2[#All],3,0)</f>
        <v>International</v>
      </c>
      <c r="F95" s="28" t="s">
        <v>38</v>
      </c>
      <c r="G95" s="21" t="s">
        <v>39</v>
      </c>
      <c r="H95" s="22">
        <v>11</v>
      </c>
      <c r="I95" s="22">
        <f>Table1[[#This Row],[Total Weight Imported (lbs)]]*0.453592</f>
        <v>4.9895119999999995</v>
      </c>
      <c r="J95" s="23">
        <v>86.1</v>
      </c>
      <c r="K95" s="24"/>
    </row>
    <row r="96" spans="1:11" ht="15.75" customHeight="1">
      <c r="A96" s="28" t="s">
        <v>78</v>
      </c>
      <c r="B96" s="28" t="s">
        <v>46</v>
      </c>
      <c r="C96" s="28" t="s">
        <v>46</v>
      </c>
      <c r="D96" s="28" t="str">
        <f>VLOOKUP(Table1[[#This Row],[Point of Origin]],Table2[#All],2,0)</f>
        <v>Mexico</v>
      </c>
      <c r="E96" s="28" t="str">
        <f>VLOOKUP(Table1[[#This Row],[Point of Origin]],Table2[#All],3,0)</f>
        <v>International</v>
      </c>
      <c r="F96" s="28" t="s">
        <v>38</v>
      </c>
      <c r="G96" s="21" t="s">
        <v>39</v>
      </c>
      <c r="H96" s="22">
        <v>22</v>
      </c>
      <c r="I96" s="22">
        <f>Table1[[#This Row],[Total Weight Imported (lbs)]]*0.453592</f>
        <v>9.979023999999999</v>
      </c>
      <c r="J96" s="23">
        <v>350</v>
      </c>
      <c r="K96" s="24"/>
    </row>
    <row r="97" spans="1:11" ht="15.75" customHeight="1">
      <c r="A97" s="27" t="s">
        <v>91</v>
      </c>
      <c r="B97" s="27" t="s">
        <v>28</v>
      </c>
      <c r="C97" s="27" t="s">
        <v>14</v>
      </c>
      <c r="D97" s="20" t="str">
        <f>VLOOKUP(Table1[[#This Row],[Point of Origin]],Table2[#All],2,0)</f>
        <v>USA</v>
      </c>
      <c r="E97" s="20" t="str">
        <f>VLOOKUP(Table1[[#This Row],[Point of Origin]],Table2[#All],3,0)</f>
        <v>Domestic</v>
      </c>
      <c r="F97" s="27" t="s">
        <v>69</v>
      </c>
      <c r="G97" s="21" t="s">
        <v>70</v>
      </c>
      <c r="H97" s="22">
        <v>112.5</v>
      </c>
      <c r="I97" s="22">
        <f>Table1[[#This Row],[Total Weight Imported (lbs)]]*0.453592</f>
        <v>51.0291</v>
      </c>
      <c r="J97" s="23">
        <v>937.5</v>
      </c>
      <c r="K97" s="24"/>
    </row>
    <row r="98" spans="1:11" ht="15.75" customHeight="1">
      <c r="A98" s="27" t="s">
        <v>91</v>
      </c>
      <c r="B98" s="27" t="s">
        <v>28</v>
      </c>
      <c r="C98" s="27" t="s">
        <v>14</v>
      </c>
      <c r="D98" s="20" t="str">
        <f>VLOOKUP(Table1[[#This Row],[Point of Origin]],Table2[#All],2,0)</f>
        <v>USA</v>
      </c>
      <c r="E98" s="20" t="str">
        <f>VLOOKUP(Table1[[#This Row],[Point of Origin]],Table2[#All],3,0)</f>
        <v>Domestic</v>
      </c>
      <c r="F98" s="27" t="s">
        <v>75</v>
      </c>
      <c r="G98" s="21" t="s">
        <v>70</v>
      </c>
      <c r="H98" s="22">
        <v>112.5</v>
      </c>
      <c r="I98" s="22">
        <f>Table1[[#This Row],[Total Weight Imported (lbs)]]*0.453592</f>
        <v>51.0291</v>
      </c>
      <c r="J98" s="23">
        <v>875</v>
      </c>
      <c r="K98" s="33"/>
    </row>
    <row r="99" spans="1:11" ht="15.75" customHeight="1">
      <c r="A99" s="27" t="s">
        <v>91</v>
      </c>
      <c r="B99" s="27" t="s">
        <v>28</v>
      </c>
      <c r="C99" s="27" t="s">
        <v>14</v>
      </c>
      <c r="D99" s="20" t="str">
        <f>VLOOKUP(Table1[[#This Row],[Point of Origin]],Table2[#All],2,0)</f>
        <v>USA</v>
      </c>
      <c r="E99" s="20" t="str">
        <f>VLOOKUP(Table1[[#This Row],[Point of Origin]],Table2[#All],3,0)</f>
        <v>Domestic</v>
      </c>
      <c r="F99" s="20" t="s">
        <v>17</v>
      </c>
      <c r="G99" s="21" t="s">
        <v>18</v>
      </c>
      <c r="H99" s="22">
        <v>20</v>
      </c>
      <c r="I99" s="22">
        <f>Table1[[#This Row],[Total Weight Imported (lbs)]]*0.453592</f>
        <v>9.0718399999999999</v>
      </c>
      <c r="J99" s="23">
        <v>83</v>
      </c>
      <c r="K99" s="24"/>
    </row>
    <row r="100" spans="1:11" ht="15.75" customHeight="1">
      <c r="A100" s="27" t="s">
        <v>91</v>
      </c>
      <c r="B100" s="27" t="s">
        <v>28</v>
      </c>
      <c r="C100" s="27" t="s">
        <v>14</v>
      </c>
      <c r="D100" s="20" t="str">
        <f>VLOOKUP(Table1[[#This Row],[Point of Origin]],Table2[#All],2,0)</f>
        <v>USA</v>
      </c>
      <c r="E100" s="20" t="str">
        <f>VLOOKUP(Table1[[#This Row],[Point of Origin]],Table2[#All],3,0)</f>
        <v>Domestic</v>
      </c>
      <c r="F100" s="20" t="s">
        <v>17</v>
      </c>
      <c r="G100" s="21" t="s">
        <v>18</v>
      </c>
      <c r="H100" s="22">
        <v>120</v>
      </c>
      <c r="I100" s="22">
        <f>Table1[[#This Row],[Total Weight Imported (lbs)]]*0.453592</f>
        <v>54.431039999999996</v>
      </c>
      <c r="J100" s="23">
        <v>222</v>
      </c>
      <c r="K100" s="24"/>
    </row>
    <row r="101" spans="1:11" ht="15.75" customHeight="1">
      <c r="A101" s="27" t="s">
        <v>91</v>
      </c>
      <c r="B101" s="27" t="s">
        <v>28</v>
      </c>
      <c r="C101" s="27" t="s">
        <v>14</v>
      </c>
      <c r="D101" s="20" t="str">
        <f>VLOOKUP(Table1[[#This Row],[Point of Origin]],Table2[#All],2,0)</f>
        <v>USA</v>
      </c>
      <c r="E101" s="20" t="str">
        <f>VLOOKUP(Table1[[#This Row],[Point of Origin]],Table2[#All],3,0)</f>
        <v>Domestic</v>
      </c>
      <c r="F101" s="20" t="s">
        <v>40</v>
      </c>
      <c r="G101" s="21" t="s">
        <v>41</v>
      </c>
      <c r="H101" s="22">
        <v>82.5</v>
      </c>
      <c r="I101" s="22">
        <f>Table1[[#This Row],[Total Weight Imported (lbs)]]*0.453592</f>
        <v>37.421340000000001</v>
      </c>
      <c r="J101" s="23">
        <v>247.5</v>
      </c>
      <c r="K101" s="24" t="s">
        <v>92</v>
      </c>
    </row>
    <row r="102" spans="1:11" ht="15.75" customHeight="1">
      <c r="A102" s="27" t="s">
        <v>91</v>
      </c>
      <c r="B102" s="27" t="s">
        <v>28</v>
      </c>
      <c r="C102" s="27" t="s">
        <v>14</v>
      </c>
      <c r="D102" s="20" t="str">
        <f>VLOOKUP(Table1[[#This Row],[Point of Origin]],Table2[#All],2,0)</f>
        <v>USA</v>
      </c>
      <c r="E102" s="20" t="str">
        <f>VLOOKUP(Table1[[#This Row],[Point of Origin]],Table2[#All],3,0)</f>
        <v>Domestic</v>
      </c>
      <c r="F102" s="27" t="s">
        <v>47</v>
      </c>
      <c r="G102" s="21" t="s">
        <v>32</v>
      </c>
      <c r="H102" s="22">
        <v>75</v>
      </c>
      <c r="I102" s="22">
        <f>Table1[[#This Row],[Total Weight Imported (lbs)]]*0.453592</f>
        <v>34.019399999999997</v>
      </c>
      <c r="J102" s="23">
        <v>337.5</v>
      </c>
      <c r="K102" s="24"/>
    </row>
    <row r="103" spans="1:11" ht="15.75" customHeight="1">
      <c r="A103" s="27" t="s">
        <v>91</v>
      </c>
      <c r="B103" s="27" t="s">
        <v>28</v>
      </c>
      <c r="C103" s="27" t="s">
        <v>14</v>
      </c>
      <c r="D103" s="20" t="str">
        <f>VLOOKUP(Table1[[#This Row],[Point of Origin]],Table2[#All],2,0)</f>
        <v>USA</v>
      </c>
      <c r="E103" s="20" t="str">
        <f>VLOOKUP(Table1[[#This Row],[Point of Origin]],Table2[#All],3,0)</f>
        <v>Domestic</v>
      </c>
      <c r="F103" s="56" t="s">
        <v>23</v>
      </c>
      <c r="G103" s="21" t="s">
        <v>24</v>
      </c>
      <c r="H103" s="22">
        <v>2750</v>
      </c>
      <c r="I103" s="22">
        <f>Table1[[#This Row],[Total Weight Imported (lbs)]]*0.453592</f>
        <v>1247.3779999999999</v>
      </c>
      <c r="J103" s="23">
        <v>2860</v>
      </c>
      <c r="K103" s="24"/>
    </row>
    <row r="104" spans="1:11" ht="15.75" customHeight="1">
      <c r="A104" s="27" t="s">
        <v>91</v>
      </c>
      <c r="B104" s="27" t="s">
        <v>28</v>
      </c>
      <c r="C104" s="27" t="s">
        <v>14</v>
      </c>
      <c r="D104" s="20" t="str">
        <f>VLOOKUP(Table1[[#This Row],[Point of Origin]],Table2[#All],2,0)</f>
        <v>USA</v>
      </c>
      <c r="E104" s="20" t="str">
        <f>VLOOKUP(Table1[[#This Row],[Point of Origin]],Table2[#All],3,0)</f>
        <v>Domestic</v>
      </c>
      <c r="F104" s="27" t="s">
        <v>84</v>
      </c>
      <c r="G104" s="21" t="s">
        <v>85</v>
      </c>
      <c r="H104" s="22">
        <v>300</v>
      </c>
      <c r="I104" s="22">
        <f>Table1[[#This Row],[Total Weight Imported (lbs)]]*0.453592</f>
        <v>136.07759999999999</v>
      </c>
      <c r="J104" s="23">
        <v>432</v>
      </c>
      <c r="K104" s="33"/>
    </row>
    <row r="105" spans="1:11" ht="15.75" customHeight="1">
      <c r="A105" s="27" t="s">
        <v>91</v>
      </c>
      <c r="B105" s="27" t="s">
        <v>28</v>
      </c>
      <c r="C105" s="27" t="s">
        <v>14</v>
      </c>
      <c r="D105" s="20" t="str">
        <f>VLOOKUP(Table1[[#This Row],[Point of Origin]],Table2[#All],2,0)</f>
        <v>USA</v>
      </c>
      <c r="E105" s="20" t="str">
        <f>VLOOKUP(Table1[[#This Row],[Point of Origin]],Table2[#All],3,0)</f>
        <v>Domestic</v>
      </c>
      <c r="F105" s="27" t="s">
        <v>93</v>
      </c>
      <c r="G105" s="21" t="s">
        <v>94</v>
      </c>
      <c r="H105" s="22">
        <v>10</v>
      </c>
      <c r="I105" s="22">
        <f>Table1[[#This Row],[Total Weight Imported (lbs)]]*0.453592</f>
        <v>4.53592</v>
      </c>
      <c r="J105" s="23">
        <v>37.5</v>
      </c>
      <c r="K105" s="33"/>
    </row>
    <row r="106" spans="1:11" ht="15.75" customHeight="1">
      <c r="A106" s="27" t="s">
        <v>91</v>
      </c>
      <c r="B106" s="27" t="s">
        <v>28</v>
      </c>
      <c r="C106" s="27" t="s">
        <v>14</v>
      </c>
      <c r="D106" s="20" t="str">
        <f>VLOOKUP(Table1[[#This Row],[Point of Origin]],Table2[#All],2,0)</f>
        <v>USA</v>
      </c>
      <c r="E106" s="20" t="str">
        <f>VLOOKUP(Table1[[#This Row],[Point of Origin]],Table2[#All],3,0)</f>
        <v>Domestic</v>
      </c>
      <c r="F106" s="27" t="s">
        <v>95</v>
      </c>
      <c r="G106" s="21" t="s">
        <v>32</v>
      </c>
      <c r="H106" s="22">
        <v>10</v>
      </c>
      <c r="I106" s="22">
        <f>Table1[[#This Row],[Total Weight Imported (lbs)]]*0.453592</f>
        <v>4.53592</v>
      </c>
      <c r="J106" s="23">
        <v>26</v>
      </c>
      <c r="K106" s="33"/>
    </row>
    <row r="107" spans="1:11" ht="15.75" customHeight="1">
      <c r="A107" s="27" t="s">
        <v>91</v>
      </c>
      <c r="B107" s="27" t="s">
        <v>28</v>
      </c>
      <c r="C107" s="27" t="s">
        <v>14</v>
      </c>
      <c r="D107" s="20" t="str">
        <f>VLOOKUP(Table1[[#This Row],[Point of Origin]],Table2[#All],2,0)</f>
        <v>USA</v>
      </c>
      <c r="E107" s="20" t="str">
        <f>VLOOKUP(Table1[[#This Row],[Point of Origin]],Table2[#All],3,0)</f>
        <v>Domestic</v>
      </c>
      <c r="F107" s="27" t="s">
        <v>96</v>
      </c>
      <c r="G107" s="21" t="s">
        <v>97</v>
      </c>
      <c r="H107" s="22">
        <v>45</v>
      </c>
      <c r="I107" s="22">
        <f>Table1[[#This Row],[Total Weight Imported (lbs)]]*0.453592</f>
        <v>20.411639999999998</v>
      </c>
      <c r="J107" s="23">
        <v>387.5</v>
      </c>
      <c r="K107" s="33"/>
    </row>
    <row r="108" spans="1:11" ht="15.75" customHeight="1">
      <c r="A108" s="27" t="s">
        <v>91</v>
      </c>
      <c r="B108" s="27" t="s">
        <v>28</v>
      </c>
      <c r="C108" s="27" t="s">
        <v>14</v>
      </c>
      <c r="D108" s="20" t="str">
        <f>VLOOKUP(Table1[[#This Row],[Point of Origin]],Table2[#All],2,0)</f>
        <v>USA</v>
      </c>
      <c r="E108" s="20" t="str">
        <f>VLOOKUP(Table1[[#This Row],[Point of Origin]],Table2[#All],3,0)</f>
        <v>Domestic</v>
      </c>
      <c r="F108" s="20" t="s">
        <v>59</v>
      </c>
      <c r="G108" s="21" t="s">
        <v>60</v>
      </c>
      <c r="H108" s="22">
        <v>45</v>
      </c>
      <c r="I108" s="22">
        <f>Table1[[#This Row],[Total Weight Imported (lbs)]]*0.453592</f>
        <v>20.411639999999998</v>
      </c>
      <c r="J108" s="23">
        <v>87</v>
      </c>
      <c r="K108" s="24"/>
    </row>
    <row r="109" spans="1:11" ht="15.75" customHeight="1">
      <c r="A109" s="27" t="s">
        <v>91</v>
      </c>
      <c r="B109" s="27" t="s">
        <v>28</v>
      </c>
      <c r="C109" s="27" t="s">
        <v>14</v>
      </c>
      <c r="D109" s="20" t="str">
        <f>VLOOKUP(Table1[[#This Row],[Point of Origin]],Table2[#All],2,0)</f>
        <v>USA</v>
      </c>
      <c r="E109" s="20" t="str">
        <f>VLOOKUP(Table1[[#This Row],[Point of Origin]],Table2[#All],3,0)</f>
        <v>Domestic</v>
      </c>
      <c r="F109" s="20" t="s">
        <v>59</v>
      </c>
      <c r="G109" s="21" t="s">
        <v>60</v>
      </c>
      <c r="H109" s="22">
        <v>10</v>
      </c>
      <c r="I109" s="22">
        <f>Table1[[#This Row],[Total Weight Imported (lbs)]]*0.453592</f>
        <v>4.53592</v>
      </c>
      <c r="J109" s="23">
        <v>32</v>
      </c>
      <c r="K109" s="24"/>
    </row>
    <row r="110" spans="1:11" ht="15.75" customHeight="1">
      <c r="A110" s="27" t="s">
        <v>91</v>
      </c>
      <c r="B110" s="27" t="s">
        <v>28</v>
      </c>
      <c r="C110" s="27" t="s">
        <v>14</v>
      </c>
      <c r="D110" s="20" t="str">
        <f>VLOOKUP(Table1[[#This Row],[Point of Origin]],Table2[#All],2,0)</f>
        <v>USA</v>
      </c>
      <c r="E110" s="20" t="str">
        <f>VLOOKUP(Table1[[#This Row],[Point of Origin]],Table2[#All],3,0)</f>
        <v>Domestic</v>
      </c>
      <c r="F110" s="20" t="s">
        <v>59</v>
      </c>
      <c r="G110" s="21" t="s">
        <v>60</v>
      </c>
      <c r="H110" s="22">
        <v>10</v>
      </c>
      <c r="I110" s="22">
        <f>Table1[[#This Row],[Total Weight Imported (lbs)]]*0.453592</f>
        <v>4.53592</v>
      </c>
      <c r="J110" s="23">
        <v>30.5</v>
      </c>
      <c r="K110" s="24"/>
    </row>
    <row r="111" spans="1:11" ht="15.75" customHeight="1">
      <c r="A111" s="27" t="s">
        <v>91</v>
      </c>
      <c r="B111" s="27" t="s">
        <v>28</v>
      </c>
      <c r="C111" s="27" t="s">
        <v>14</v>
      </c>
      <c r="D111" s="20" t="str">
        <f>VLOOKUP(Table1[[#This Row],[Point of Origin]],Table2[#All],2,0)</f>
        <v>USA</v>
      </c>
      <c r="E111" s="20" t="str">
        <f>VLOOKUP(Table1[[#This Row],[Point of Origin]],Table2[#All],3,0)</f>
        <v>Domestic</v>
      </c>
      <c r="F111" s="27" t="s">
        <v>98</v>
      </c>
      <c r="G111" s="21" t="s">
        <v>99</v>
      </c>
      <c r="H111" s="22">
        <v>30</v>
      </c>
      <c r="I111" s="22">
        <f>Table1[[#This Row],[Total Weight Imported (lbs)]]*0.453592</f>
        <v>13.607759999999999</v>
      </c>
      <c r="J111" s="23">
        <v>93</v>
      </c>
      <c r="K111" s="33"/>
    </row>
    <row r="112" spans="1:11" ht="15.75" customHeight="1">
      <c r="A112" s="27" t="s">
        <v>91</v>
      </c>
      <c r="B112" s="27" t="s">
        <v>28</v>
      </c>
      <c r="C112" s="27" t="s">
        <v>14</v>
      </c>
      <c r="D112" s="20" t="str">
        <f>VLOOKUP(Table1[[#This Row],[Point of Origin]],Table2[#All],2,0)</f>
        <v>USA</v>
      </c>
      <c r="E112" s="20" t="str">
        <f>VLOOKUP(Table1[[#This Row],[Point of Origin]],Table2[#All],3,0)</f>
        <v>Domestic</v>
      </c>
      <c r="F112" s="20" t="s">
        <v>36</v>
      </c>
      <c r="G112" s="21" t="s">
        <v>57</v>
      </c>
      <c r="H112" s="22">
        <v>126</v>
      </c>
      <c r="I112" s="22">
        <f>Table1[[#This Row],[Total Weight Imported (lbs)]]*0.453592</f>
        <v>57.152591999999999</v>
      </c>
      <c r="J112" s="23">
        <v>522</v>
      </c>
      <c r="K112" s="24"/>
    </row>
    <row r="113" spans="1:11" ht="15.75" customHeight="1">
      <c r="A113" s="27" t="s">
        <v>91</v>
      </c>
      <c r="B113" s="27" t="s">
        <v>28</v>
      </c>
      <c r="C113" s="27" t="s">
        <v>14</v>
      </c>
      <c r="D113" s="20" t="str">
        <f>VLOOKUP(Table1[[#This Row],[Point of Origin]],Table2[#All],2,0)</f>
        <v>USA</v>
      </c>
      <c r="E113" s="20" t="str">
        <f>VLOOKUP(Table1[[#This Row],[Point of Origin]],Table2[#All],3,0)</f>
        <v>Domestic</v>
      </c>
      <c r="F113" s="20" t="s">
        <v>36</v>
      </c>
      <c r="G113" s="21" t="s">
        <v>57</v>
      </c>
      <c r="H113" s="22">
        <v>108</v>
      </c>
      <c r="I113" s="22">
        <f>Table1[[#This Row],[Total Weight Imported (lbs)]]*0.453592</f>
        <v>48.987935999999998</v>
      </c>
      <c r="J113" s="23">
        <v>468</v>
      </c>
      <c r="K113" s="24"/>
    </row>
    <row r="114" spans="1:11" ht="15.75" customHeight="1">
      <c r="A114" s="27" t="s">
        <v>91</v>
      </c>
      <c r="B114" s="27" t="s">
        <v>28</v>
      </c>
      <c r="C114" s="27" t="s">
        <v>14</v>
      </c>
      <c r="D114" s="20" t="str">
        <f>VLOOKUP(Table1[[#This Row],[Point of Origin]],Table2[#All],2,0)</f>
        <v>USA</v>
      </c>
      <c r="E114" s="20" t="str">
        <f>VLOOKUP(Table1[[#This Row],[Point of Origin]],Table2[#All],3,0)</f>
        <v>Domestic</v>
      </c>
      <c r="F114" s="20" t="s">
        <v>36</v>
      </c>
      <c r="G114" s="21" t="s">
        <v>57</v>
      </c>
      <c r="H114" s="22">
        <v>150</v>
      </c>
      <c r="I114" s="22">
        <f>Table1[[#This Row],[Total Weight Imported (lbs)]]*0.453592</f>
        <v>68.038799999999995</v>
      </c>
      <c r="J114" s="23">
        <v>532.5</v>
      </c>
      <c r="K114" s="24"/>
    </row>
    <row r="115" spans="1:11" ht="15.75" customHeight="1">
      <c r="A115" s="27" t="s">
        <v>91</v>
      </c>
      <c r="B115" s="27" t="s">
        <v>28</v>
      </c>
      <c r="C115" s="27" t="s">
        <v>14</v>
      </c>
      <c r="D115" s="20" t="str">
        <f>VLOOKUP(Table1[[#This Row],[Point of Origin]],Table2[#All],2,0)</f>
        <v>USA</v>
      </c>
      <c r="E115" s="20" t="str">
        <f>VLOOKUP(Table1[[#This Row],[Point of Origin]],Table2[#All],3,0)</f>
        <v>Domestic</v>
      </c>
      <c r="F115" s="20" t="s">
        <v>36</v>
      </c>
      <c r="G115" s="21" t="s">
        <v>57</v>
      </c>
      <c r="H115" s="22">
        <v>10</v>
      </c>
      <c r="I115" s="22">
        <f>Table1[[#This Row],[Total Weight Imported (lbs)]]*0.453592</f>
        <v>4.53592</v>
      </c>
      <c r="J115" s="23">
        <v>58</v>
      </c>
      <c r="K115" s="24"/>
    </row>
    <row r="116" spans="1:11" ht="15.75" customHeight="1">
      <c r="A116" s="27" t="s">
        <v>91</v>
      </c>
      <c r="B116" s="27" t="s">
        <v>28</v>
      </c>
      <c r="C116" s="27" t="s">
        <v>14</v>
      </c>
      <c r="D116" s="20" t="str">
        <f>VLOOKUP(Table1[[#This Row],[Point of Origin]],Table2[#All],2,0)</f>
        <v>USA</v>
      </c>
      <c r="E116" s="20" t="str">
        <f>VLOOKUP(Table1[[#This Row],[Point of Origin]],Table2[#All],3,0)</f>
        <v>Domestic</v>
      </c>
      <c r="F116" s="31" t="s">
        <v>76</v>
      </c>
      <c r="G116" s="21" t="s">
        <v>77</v>
      </c>
      <c r="H116" s="22">
        <v>7.75</v>
      </c>
      <c r="I116" s="22">
        <f>Table1[[#This Row],[Total Weight Imported (lbs)]]*0.453592</f>
        <v>3.5153379999999999</v>
      </c>
      <c r="J116" s="23">
        <v>32.5</v>
      </c>
      <c r="K116" s="33"/>
    </row>
    <row r="117" spans="1:11" ht="15.75" customHeight="1">
      <c r="A117" s="27" t="s">
        <v>91</v>
      </c>
      <c r="B117" s="27" t="s">
        <v>28</v>
      </c>
      <c r="C117" s="27" t="s">
        <v>14</v>
      </c>
      <c r="D117" s="20" t="str">
        <f>VLOOKUP(Table1[[#This Row],[Point of Origin]],Table2[#All],2,0)</f>
        <v>USA</v>
      </c>
      <c r="E117" s="20" t="str">
        <f>VLOOKUP(Table1[[#This Row],[Point of Origin]],Table2[#All],3,0)</f>
        <v>Domestic</v>
      </c>
      <c r="F117" s="20" t="s">
        <v>76</v>
      </c>
      <c r="G117" s="21" t="s">
        <v>77</v>
      </c>
      <c r="H117" s="22">
        <v>7.5</v>
      </c>
      <c r="I117" s="22">
        <f>Table1[[#This Row],[Total Weight Imported (lbs)]]*0.453592</f>
        <v>3.4019399999999997</v>
      </c>
      <c r="J117" s="23">
        <v>32.5</v>
      </c>
      <c r="K117" s="33"/>
    </row>
    <row r="118" spans="1:11" ht="15.75" customHeight="1">
      <c r="A118" s="27" t="s">
        <v>91</v>
      </c>
      <c r="B118" s="27" t="s">
        <v>28</v>
      </c>
      <c r="C118" s="27" t="s">
        <v>14</v>
      </c>
      <c r="D118" s="20" t="str">
        <f>VLOOKUP(Table1[[#This Row],[Point of Origin]],Table2[#All],2,0)</f>
        <v>USA</v>
      </c>
      <c r="E118" s="20" t="str">
        <f>VLOOKUP(Table1[[#This Row],[Point of Origin]],Table2[#All],3,0)</f>
        <v>Domestic</v>
      </c>
      <c r="F118" s="20" t="s">
        <v>76</v>
      </c>
      <c r="G118" s="21" t="s">
        <v>77</v>
      </c>
      <c r="H118" s="22">
        <v>7.5</v>
      </c>
      <c r="I118" s="22">
        <f>Table1[[#This Row],[Total Weight Imported (lbs)]]*0.453592</f>
        <v>3.4019399999999997</v>
      </c>
      <c r="J118" s="23">
        <v>32</v>
      </c>
      <c r="K118" s="33"/>
    </row>
    <row r="119" spans="1:11" ht="15.75" customHeight="1">
      <c r="A119" s="27" t="s">
        <v>91</v>
      </c>
      <c r="B119" s="27" t="s">
        <v>28</v>
      </c>
      <c r="C119" s="27" t="s">
        <v>14</v>
      </c>
      <c r="D119" s="20" t="str">
        <f>VLOOKUP(Table1[[#This Row],[Point of Origin]],Table2[#All],2,0)</f>
        <v>USA</v>
      </c>
      <c r="E119" s="20" t="str">
        <f>VLOOKUP(Table1[[#This Row],[Point of Origin]],Table2[#All],3,0)</f>
        <v>Domestic</v>
      </c>
      <c r="F119" s="20" t="s">
        <v>81</v>
      </c>
      <c r="G119" s="21" t="s">
        <v>62</v>
      </c>
      <c r="H119" s="22">
        <v>175</v>
      </c>
      <c r="I119" s="22">
        <f>Table1[[#This Row],[Total Weight Imported (lbs)]]*0.453592</f>
        <v>79.378600000000006</v>
      </c>
      <c r="J119" s="23">
        <v>476</v>
      </c>
      <c r="K119" s="24"/>
    </row>
    <row r="120" spans="1:11" ht="15.75" customHeight="1">
      <c r="A120" s="27" t="s">
        <v>91</v>
      </c>
      <c r="B120" s="27" t="s">
        <v>28</v>
      </c>
      <c r="C120" s="27" t="s">
        <v>14</v>
      </c>
      <c r="D120" s="20" t="str">
        <f>VLOOKUP(Table1[[#This Row],[Point of Origin]],Table2[#All],2,0)</f>
        <v>USA</v>
      </c>
      <c r="E120" s="20" t="str">
        <f>VLOOKUP(Table1[[#This Row],[Point of Origin]],Table2[#All],3,0)</f>
        <v>Domestic</v>
      </c>
      <c r="F120" s="20" t="s">
        <v>38</v>
      </c>
      <c r="G120" s="21" t="s">
        <v>39</v>
      </c>
      <c r="H120" s="22">
        <v>1250</v>
      </c>
      <c r="I120" s="22">
        <f>Table1[[#This Row],[Total Weight Imported (lbs)]]*0.453592</f>
        <v>566.99</v>
      </c>
      <c r="J120" s="23">
        <v>2950</v>
      </c>
      <c r="K120" s="24"/>
    </row>
    <row r="121" spans="1:11" ht="15.75" customHeight="1">
      <c r="A121" s="27" t="s">
        <v>91</v>
      </c>
      <c r="B121" s="27" t="s">
        <v>28</v>
      </c>
      <c r="C121" s="27" t="s">
        <v>14</v>
      </c>
      <c r="D121" s="20" t="str">
        <f>VLOOKUP(Table1[[#This Row],[Point of Origin]],Table2[#All],2,0)</f>
        <v>USA</v>
      </c>
      <c r="E121" s="20" t="str">
        <f>VLOOKUP(Table1[[#This Row],[Point of Origin]],Table2[#All],3,0)</f>
        <v>Domestic</v>
      </c>
      <c r="F121" s="20" t="s">
        <v>38</v>
      </c>
      <c r="G121" s="21" t="s">
        <v>39</v>
      </c>
      <c r="H121" s="22">
        <v>82.5</v>
      </c>
      <c r="I121" s="22">
        <f>Table1[[#This Row],[Total Weight Imported (lbs)]]*0.453592</f>
        <v>37.421340000000001</v>
      </c>
      <c r="J121" s="23">
        <v>319</v>
      </c>
      <c r="K121" s="24"/>
    </row>
    <row r="122" spans="1:11" ht="15.75" customHeight="1">
      <c r="A122" s="27" t="s">
        <v>91</v>
      </c>
      <c r="B122" s="27" t="s">
        <v>28</v>
      </c>
      <c r="C122" s="27" t="s">
        <v>14</v>
      </c>
      <c r="D122" s="20" t="str">
        <f>VLOOKUP(Table1[[#This Row],[Point of Origin]],Table2[#All],2,0)</f>
        <v>USA</v>
      </c>
      <c r="E122" s="20" t="str">
        <f>VLOOKUP(Table1[[#This Row],[Point of Origin]],Table2[#All],3,0)</f>
        <v>Domestic</v>
      </c>
      <c r="F122" s="20" t="s">
        <v>38</v>
      </c>
      <c r="G122" s="21" t="s">
        <v>39</v>
      </c>
      <c r="H122" s="22">
        <v>170</v>
      </c>
      <c r="I122" s="22">
        <f>Table1[[#This Row],[Total Weight Imported (lbs)]]*0.453592</f>
        <v>77.110640000000004</v>
      </c>
      <c r="J122" s="23">
        <v>476</v>
      </c>
      <c r="K122" s="24"/>
    </row>
    <row r="123" spans="1:11" ht="15.75" customHeight="1">
      <c r="A123" s="27" t="s">
        <v>91</v>
      </c>
      <c r="B123" s="27" t="s">
        <v>28</v>
      </c>
      <c r="C123" s="27" t="s">
        <v>14</v>
      </c>
      <c r="D123" s="20" t="str">
        <f>VLOOKUP(Table1[[#This Row],[Point of Origin]],Table2[#All],2,0)</f>
        <v>USA</v>
      </c>
      <c r="E123" s="20" t="str">
        <f>VLOOKUP(Table1[[#This Row],[Point of Origin]],Table2[#All],3,0)</f>
        <v>Domestic</v>
      </c>
      <c r="F123" s="20" t="s">
        <v>38</v>
      </c>
      <c r="G123" s="21" t="s">
        <v>39</v>
      </c>
      <c r="H123" s="22">
        <v>400</v>
      </c>
      <c r="I123" s="22">
        <f>Table1[[#This Row],[Total Weight Imported (lbs)]]*0.453592</f>
        <v>181.43680000000001</v>
      </c>
      <c r="J123" s="23">
        <v>632</v>
      </c>
      <c r="K123" s="24"/>
    </row>
    <row r="124" spans="1:11" ht="15.75" customHeight="1">
      <c r="A124" s="27" t="s">
        <v>91</v>
      </c>
      <c r="B124" s="27" t="s">
        <v>28</v>
      </c>
      <c r="C124" s="27" t="s">
        <v>14</v>
      </c>
      <c r="D124" s="20" t="str">
        <f>VLOOKUP(Table1[[#This Row],[Point of Origin]],Table2[#All],2,0)</f>
        <v>USA</v>
      </c>
      <c r="E124" s="20" t="str">
        <f>VLOOKUP(Table1[[#This Row],[Point of Origin]],Table2[#All],3,0)</f>
        <v>Domestic</v>
      </c>
      <c r="F124" s="27" t="s">
        <v>100</v>
      </c>
      <c r="G124" s="21" t="s">
        <v>32</v>
      </c>
      <c r="H124" s="22">
        <v>2</v>
      </c>
      <c r="I124" s="22">
        <f>Table1[[#This Row],[Total Weight Imported (lbs)]]*0.453592</f>
        <v>0.90718399999999999</v>
      </c>
      <c r="J124" s="23">
        <v>53</v>
      </c>
      <c r="K124" s="33"/>
    </row>
    <row r="125" spans="1:11" ht="15.75" customHeight="1">
      <c r="A125" s="27" t="s">
        <v>91</v>
      </c>
      <c r="B125" s="27" t="s">
        <v>28</v>
      </c>
      <c r="C125" s="27" t="s">
        <v>14</v>
      </c>
      <c r="D125" s="20" t="str">
        <f>VLOOKUP(Table1[[#This Row],[Point of Origin]],Table2[#All],2,0)</f>
        <v>USA</v>
      </c>
      <c r="E125" s="20" t="str">
        <f>VLOOKUP(Table1[[#This Row],[Point of Origin]],Table2[#All],3,0)</f>
        <v>Domestic</v>
      </c>
      <c r="F125" s="27" t="s">
        <v>101</v>
      </c>
      <c r="G125" s="21" t="s">
        <v>32</v>
      </c>
      <c r="H125" s="22">
        <v>8.4</v>
      </c>
      <c r="I125" s="22">
        <f>Table1[[#This Row],[Total Weight Imported (lbs)]]*0.453592</f>
        <v>3.8101728000000001</v>
      </c>
      <c r="J125" s="23">
        <v>161</v>
      </c>
      <c r="K125" s="33"/>
    </row>
    <row r="126" spans="1:11" ht="15.75" customHeight="1">
      <c r="A126" s="27" t="s">
        <v>91</v>
      </c>
      <c r="B126" s="27" t="s">
        <v>28</v>
      </c>
      <c r="C126" s="27" t="s">
        <v>14</v>
      </c>
      <c r="D126" s="20" t="str">
        <f>VLOOKUP(Table1[[#This Row],[Point of Origin]],Table2[#All],2,0)</f>
        <v>USA</v>
      </c>
      <c r="E126" s="20" t="str">
        <f>VLOOKUP(Table1[[#This Row],[Point of Origin]],Table2[#All],3,0)</f>
        <v>Domestic</v>
      </c>
      <c r="F126" s="27" t="s">
        <v>102</v>
      </c>
      <c r="G126" s="21" t="s">
        <v>32</v>
      </c>
      <c r="H126" s="22">
        <v>2</v>
      </c>
      <c r="I126" s="22">
        <f>Table1[[#This Row],[Total Weight Imported (lbs)]]*0.453592</f>
        <v>0.90718399999999999</v>
      </c>
      <c r="J126" s="23">
        <v>13</v>
      </c>
      <c r="K126" s="24"/>
    </row>
    <row r="127" spans="1:11" ht="15.75" customHeight="1">
      <c r="A127" s="27" t="s">
        <v>91</v>
      </c>
      <c r="B127" s="27" t="s">
        <v>28</v>
      </c>
      <c r="C127" s="27" t="s">
        <v>14</v>
      </c>
      <c r="D127" s="20" t="str">
        <f>VLOOKUP(Table1[[#This Row],[Point of Origin]],Table2[#All],2,0)</f>
        <v>USA</v>
      </c>
      <c r="E127" s="20" t="str">
        <f>VLOOKUP(Table1[[#This Row],[Point of Origin]],Table2[#All],3,0)</f>
        <v>Domestic</v>
      </c>
      <c r="F127" s="27" t="s">
        <v>42</v>
      </c>
      <c r="G127" s="21" t="s">
        <v>32</v>
      </c>
      <c r="H127" s="22">
        <v>16</v>
      </c>
      <c r="I127" s="22">
        <f>Table1[[#This Row],[Total Weight Imported (lbs)]]*0.453592</f>
        <v>7.2574719999999999</v>
      </c>
      <c r="J127" s="23">
        <v>408</v>
      </c>
      <c r="K127" s="24"/>
    </row>
    <row r="128" spans="1:11" ht="15.75" customHeight="1">
      <c r="A128" s="27" t="s">
        <v>91</v>
      </c>
      <c r="B128" s="27" t="s">
        <v>28</v>
      </c>
      <c r="C128" s="27" t="s">
        <v>14</v>
      </c>
      <c r="D128" s="20" t="str">
        <f>VLOOKUP(Table1[[#This Row],[Point of Origin]],Table2[#All],2,0)</f>
        <v>USA</v>
      </c>
      <c r="E128" s="20" t="str">
        <f>VLOOKUP(Table1[[#This Row],[Point of Origin]],Table2[#All],3,0)</f>
        <v>Domestic</v>
      </c>
      <c r="F128" s="20" t="s">
        <v>103</v>
      </c>
      <c r="G128" s="21" t="s">
        <v>32</v>
      </c>
      <c r="H128" s="22">
        <v>6</v>
      </c>
      <c r="I128" s="22">
        <f>Table1[[#This Row],[Total Weight Imported (lbs)]]*0.453592</f>
        <v>2.721552</v>
      </c>
      <c r="J128" s="23">
        <v>153</v>
      </c>
      <c r="K128" s="24"/>
    </row>
    <row r="129" spans="1:11" ht="15.75" customHeight="1">
      <c r="A129" s="27" t="s">
        <v>91</v>
      </c>
      <c r="B129" s="27" t="s">
        <v>28</v>
      </c>
      <c r="C129" s="27" t="s">
        <v>14</v>
      </c>
      <c r="D129" s="20" t="str">
        <f>VLOOKUP(Table1[[#This Row],[Point of Origin]],Table2[#All],2,0)</f>
        <v>USA</v>
      </c>
      <c r="E129" s="20" t="str">
        <f>VLOOKUP(Table1[[#This Row],[Point of Origin]],Table2[#All],3,0)</f>
        <v>Domestic</v>
      </c>
      <c r="F129" s="27" t="s">
        <v>100</v>
      </c>
      <c r="G129" s="21" t="s">
        <v>32</v>
      </c>
      <c r="H129" s="22">
        <v>1.96</v>
      </c>
      <c r="I129" s="22">
        <f>Table1[[#This Row],[Total Weight Imported (lbs)]]*0.453592</f>
        <v>0.88904032</v>
      </c>
      <c r="J129" s="23">
        <v>103.25</v>
      </c>
      <c r="K129" s="33"/>
    </row>
    <row r="130" spans="1:11" ht="15.75" customHeight="1">
      <c r="A130" s="27" t="s">
        <v>91</v>
      </c>
      <c r="B130" s="27" t="s">
        <v>28</v>
      </c>
      <c r="C130" s="27" t="s">
        <v>14</v>
      </c>
      <c r="D130" s="20" t="str">
        <f>VLOOKUP(Table1[[#This Row],[Point of Origin]],Table2[#All],2,0)</f>
        <v>USA</v>
      </c>
      <c r="E130" s="20" t="str">
        <f>VLOOKUP(Table1[[#This Row],[Point of Origin]],Table2[#All],3,0)</f>
        <v>Domestic</v>
      </c>
      <c r="F130" s="20" t="s">
        <v>33</v>
      </c>
      <c r="G130" s="21" t="s">
        <v>34</v>
      </c>
      <c r="H130" s="22">
        <v>0.4</v>
      </c>
      <c r="I130" s="22">
        <f>Table1[[#This Row],[Total Weight Imported (lbs)]]*0.453592</f>
        <v>0.18143680000000001</v>
      </c>
      <c r="J130" s="23">
        <v>29.5</v>
      </c>
      <c r="K130" s="24"/>
    </row>
    <row r="131" spans="1:11" ht="15.75" customHeight="1">
      <c r="A131" s="27" t="s">
        <v>91</v>
      </c>
      <c r="B131" s="27" t="s">
        <v>28</v>
      </c>
      <c r="C131" s="27" t="s">
        <v>14</v>
      </c>
      <c r="D131" s="20" t="str">
        <f>VLOOKUP(Table1[[#This Row],[Point of Origin]],Table2[#All],2,0)</f>
        <v>USA</v>
      </c>
      <c r="E131" s="20" t="str">
        <f>VLOOKUP(Table1[[#This Row],[Point of Origin]],Table2[#All],3,0)</f>
        <v>Domestic</v>
      </c>
      <c r="F131" s="27" t="s">
        <v>104</v>
      </c>
      <c r="G131" s="21" t="s">
        <v>32</v>
      </c>
      <c r="H131" s="22">
        <v>1.4</v>
      </c>
      <c r="I131" s="22">
        <f>Table1[[#This Row],[Total Weight Imported (lbs)]]*0.453592</f>
        <v>0.63502879999999995</v>
      </c>
      <c r="J131" s="23">
        <v>73.75</v>
      </c>
      <c r="K131" s="33"/>
    </row>
    <row r="132" spans="1:11" ht="15.75" customHeight="1">
      <c r="A132" s="27" t="s">
        <v>91</v>
      </c>
      <c r="B132" s="27" t="s">
        <v>28</v>
      </c>
      <c r="C132" s="27" t="s">
        <v>14</v>
      </c>
      <c r="D132" s="20" t="str">
        <f>VLOOKUP(Table1[[#This Row],[Point of Origin]],Table2[#All],2,0)</f>
        <v>USA</v>
      </c>
      <c r="E132" s="20" t="str">
        <f>VLOOKUP(Table1[[#This Row],[Point of Origin]],Table2[#All],3,0)</f>
        <v>Domestic</v>
      </c>
      <c r="F132" s="27" t="s">
        <v>101</v>
      </c>
      <c r="G132" s="21" t="s">
        <v>32</v>
      </c>
      <c r="H132" s="22">
        <v>3.64</v>
      </c>
      <c r="I132" s="22">
        <f>Table1[[#This Row],[Total Weight Imported (lbs)]]*0.453592</f>
        <v>1.6510748800000001</v>
      </c>
      <c r="J132" s="23">
        <v>191.75</v>
      </c>
      <c r="K132" s="33"/>
    </row>
    <row r="133" spans="1:11" ht="15.75" customHeight="1">
      <c r="A133" s="27" t="s">
        <v>91</v>
      </c>
      <c r="B133" s="27" t="s">
        <v>28</v>
      </c>
      <c r="C133" s="27" t="s">
        <v>14</v>
      </c>
      <c r="D133" s="20" t="str">
        <f>VLOOKUP(Table1[[#This Row],[Point of Origin]],Table2[#All],2,0)</f>
        <v>USA</v>
      </c>
      <c r="E133" s="20" t="str">
        <f>VLOOKUP(Table1[[#This Row],[Point of Origin]],Table2[#All],3,0)</f>
        <v>Domestic</v>
      </c>
      <c r="F133" s="27" t="s">
        <v>105</v>
      </c>
      <c r="G133" s="21" t="s">
        <v>32</v>
      </c>
      <c r="H133" s="22">
        <v>0.84</v>
      </c>
      <c r="I133" s="22">
        <f>Table1[[#This Row],[Total Weight Imported (lbs)]]*0.453592</f>
        <v>0.38101727999999996</v>
      </c>
      <c r="J133" s="23">
        <v>44.25</v>
      </c>
      <c r="K133" s="33"/>
    </row>
    <row r="134" spans="1:11" ht="15.75" customHeight="1">
      <c r="A134" s="27" t="s">
        <v>91</v>
      </c>
      <c r="B134" s="27" t="s">
        <v>28</v>
      </c>
      <c r="C134" s="27" t="s">
        <v>14</v>
      </c>
      <c r="D134" s="20" t="str">
        <f>VLOOKUP(Table1[[#This Row],[Point of Origin]],Table2[#All],2,0)</f>
        <v>USA</v>
      </c>
      <c r="E134" s="20" t="str">
        <f>VLOOKUP(Table1[[#This Row],[Point of Origin]],Table2[#All],3,0)</f>
        <v>Domestic</v>
      </c>
      <c r="F134" s="20" t="s">
        <v>42</v>
      </c>
      <c r="G134" s="21" t="s">
        <v>32</v>
      </c>
      <c r="H134" s="22">
        <v>4.76</v>
      </c>
      <c r="I134" s="22">
        <f>Table1[[#This Row],[Total Weight Imported (lbs)]]*0.453592</f>
        <v>2.1590979199999998</v>
      </c>
      <c r="J134" s="23">
        <v>250.75</v>
      </c>
      <c r="K134" s="24"/>
    </row>
    <row r="135" spans="1:11" ht="15.75" customHeight="1">
      <c r="A135" s="27" t="s">
        <v>91</v>
      </c>
      <c r="B135" s="27" t="s">
        <v>28</v>
      </c>
      <c r="C135" s="27" t="s">
        <v>14</v>
      </c>
      <c r="D135" s="20" t="str">
        <f>VLOOKUP(Table1[[#This Row],[Point of Origin]],Table2[#All],2,0)</f>
        <v>USA</v>
      </c>
      <c r="E135" s="20" t="str">
        <f>VLOOKUP(Table1[[#This Row],[Point of Origin]],Table2[#All],3,0)</f>
        <v>Domestic</v>
      </c>
      <c r="F135" s="27" t="s">
        <v>106</v>
      </c>
      <c r="G135" s="21" t="s">
        <v>32</v>
      </c>
      <c r="H135" s="22">
        <v>0.84</v>
      </c>
      <c r="I135" s="22">
        <f>Table1[[#This Row],[Total Weight Imported (lbs)]]*0.453592</f>
        <v>0.38101727999999996</v>
      </c>
      <c r="J135" s="23">
        <v>44.25</v>
      </c>
      <c r="K135" s="33"/>
    </row>
    <row r="136" spans="1:11" ht="15.75" customHeight="1">
      <c r="A136" s="27" t="s">
        <v>91</v>
      </c>
      <c r="B136" s="27" t="s">
        <v>28</v>
      </c>
      <c r="C136" s="27" t="s">
        <v>14</v>
      </c>
      <c r="D136" s="20" t="str">
        <f>VLOOKUP(Table1[[#This Row],[Point of Origin]],Table2[#All],2,0)</f>
        <v>USA</v>
      </c>
      <c r="E136" s="20" t="str">
        <f>VLOOKUP(Table1[[#This Row],[Point of Origin]],Table2[#All],3,0)</f>
        <v>Domestic</v>
      </c>
      <c r="F136" s="20" t="s">
        <v>31</v>
      </c>
      <c r="G136" s="21" t="s">
        <v>32</v>
      </c>
      <c r="H136" s="22">
        <v>3.64</v>
      </c>
      <c r="I136" s="22">
        <f>Table1[[#This Row],[Total Weight Imported (lbs)]]*0.453592</f>
        <v>1.6510748800000001</v>
      </c>
      <c r="J136" s="23">
        <v>191.75</v>
      </c>
      <c r="K136" s="24"/>
    </row>
    <row r="137" spans="1:11" ht="15.75" customHeight="1">
      <c r="A137" s="27" t="s">
        <v>91</v>
      </c>
      <c r="B137" s="27" t="s">
        <v>28</v>
      </c>
      <c r="C137" s="27" t="s">
        <v>14</v>
      </c>
      <c r="D137" s="20" t="str">
        <f>VLOOKUP(Table1[[#This Row],[Point of Origin]],Table2[#All],2,0)</f>
        <v>USA</v>
      </c>
      <c r="E137" s="20" t="str">
        <f>VLOOKUP(Table1[[#This Row],[Point of Origin]],Table2[#All],3,0)</f>
        <v>Domestic</v>
      </c>
      <c r="F137" s="20" t="s">
        <v>59</v>
      </c>
      <c r="G137" s="21" t="s">
        <v>60</v>
      </c>
      <c r="H137" s="22">
        <v>5</v>
      </c>
      <c r="I137" s="22">
        <f>Table1[[#This Row],[Total Weight Imported (lbs)]]*0.453592</f>
        <v>2.26796</v>
      </c>
      <c r="J137" s="23">
        <v>46</v>
      </c>
      <c r="K137" s="24"/>
    </row>
    <row r="138" spans="1:11" ht="15.75" customHeight="1">
      <c r="A138" s="27" t="s">
        <v>91</v>
      </c>
      <c r="B138" s="27" t="s">
        <v>28</v>
      </c>
      <c r="C138" s="27" t="s">
        <v>14</v>
      </c>
      <c r="D138" s="20" t="str">
        <f>VLOOKUP(Table1[[#This Row],[Point of Origin]],Table2[#All],2,0)</f>
        <v>USA</v>
      </c>
      <c r="E138" s="20" t="str">
        <f>VLOOKUP(Table1[[#This Row],[Point of Origin]],Table2[#All],3,0)</f>
        <v>Domestic</v>
      </c>
      <c r="F138" s="27" t="s">
        <v>87</v>
      </c>
      <c r="G138" s="21" t="s">
        <v>20</v>
      </c>
      <c r="H138" s="22">
        <v>2.5</v>
      </c>
      <c r="I138" s="22">
        <f>Table1[[#This Row],[Total Weight Imported (lbs)]]*0.453592</f>
        <v>1.13398</v>
      </c>
      <c r="J138" s="23">
        <v>19.05</v>
      </c>
      <c r="K138" s="24"/>
    </row>
    <row r="139" spans="1:11" ht="15.75" customHeight="1">
      <c r="A139" s="27" t="s">
        <v>91</v>
      </c>
      <c r="B139" s="27" t="s">
        <v>28</v>
      </c>
      <c r="C139" s="27" t="s">
        <v>14</v>
      </c>
      <c r="D139" s="20" t="str">
        <f>VLOOKUP(Table1[[#This Row],[Point of Origin]],Table2[#All],2,0)</f>
        <v>USA</v>
      </c>
      <c r="E139" s="20" t="str">
        <f>VLOOKUP(Table1[[#This Row],[Point of Origin]],Table2[#All],3,0)</f>
        <v>Domestic</v>
      </c>
      <c r="F139" s="20" t="s">
        <v>40</v>
      </c>
      <c r="G139" s="21" t="s">
        <v>41</v>
      </c>
      <c r="H139" s="22">
        <v>5</v>
      </c>
      <c r="I139" s="22">
        <f>Table1[[#This Row],[Total Weight Imported (lbs)]]*0.453592</f>
        <v>2.26796</v>
      </c>
      <c r="J139" s="23">
        <v>28</v>
      </c>
      <c r="K139" s="24"/>
    </row>
    <row r="140" spans="1:11" ht="15.75" customHeight="1">
      <c r="A140" s="27" t="s">
        <v>91</v>
      </c>
      <c r="B140" s="27" t="s">
        <v>28</v>
      </c>
      <c r="C140" s="27" t="s">
        <v>14</v>
      </c>
      <c r="D140" s="20" t="str">
        <f>VLOOKUP(Table1[[#This Row],[Point of Origin]],Table2[#All],2,0)</f>
        <v>USA</v>
      </c>
      <c r="E140" s="20" t="str">
        <f>VLOOKUP(Table1[[#This Row],[Point of Origin]],Table2[#All],3,0)</f>
        <v>Domestic</v>
      </c>
      <c r="F140" s="27" t="s">
        <v>107</v>
      </c>
      <c r="G140" s="21" t="s">
        <v>108</v>
      </c>
      <c r="H140" s="22">
        <v>1.5</v>
      </c>
      <c r="I140" s="22">
        <f>Table1[[#This Row],[Total Weight Imported (lbs)]]*0.453592</f>
        <v>0.68038799999999999</v>
      </c>
      <c r="J140" s="23">
        <v>51.6</v>
      </c>
      <c r="K140" s="33"/>
    </row>
    <row r="141" spans="1:11" ht="15.75" customHeight="1">
      <c r="A141" s="27" t="s">
        <v>91</v>
      </c>
      <c r="B141" s="27" t="s">
        <v>28</v>
      </c>
      <c r="C141" s="27" t="s">
        <v>14</v>
      </c>
      <c r="D141" s="20" t="str">
        <f>VLOOKUP(Table1[[#This Row],[Point of Origin]],Table2[#All],2,0)</f>
        <v>USA</v>
      </c>
      <c r="E141" s="20" t="str">
        <f>VLOOKUP(Table1[[#This Row],[Point of Origin]],Table2[#All],3,0)</f>
        <v>Domestic</v>
      </c>
      <c r="F141" s="27" t="s">
        <v>109</v>
      </c>
      <c r="G141" s="21" t="s">
        <v>20</v>
      </c>
      <c r="H141" s="22">
        <v>20</v>
      </c>
      <c r="I141" s="22">
        <f>Table1[[#This Row],[Total Weight Imported (lbs)]]*0.453592</f>
        <v>9.0718399999999999</v>
      </c>
      <c r="J141" s="23">
        <v>32.5</v>
      </c>
      <c r="K141" s="33"/>
    </row>
    <row r="142" spans="1:11" ht="15.75" customHeight="1">
      <c r="A142" s="28" t="s">
        <v>110</v>
      </c>
      <c r="B142" s="28" t="s">
        <v>111</v>
      </c>
      <c r="C142" s="28" t="s">
        <v>111</v>
      </c>
      <c r="D142" s="28" t="str">
        <f>VLOOKUP(Table1[[#This Row],[Point of Origin]],Table2[#All],2,0)</f>
        <v>New Zealand</v>
      </c>
      <c r="E142" s="28" t="str">
        <f>VLOOKUP(Table1[[#This Row],[Point of Origin]],Table2[#All],3,0)</f>
        <v>International</v>
      </c>
      <c r="F142" s="28" t="s">
        <v>65</v>
      </c>
      <c r="G142" s="21" t="s">
        <v>66</v>
      </c>
      <c r="H142" s="22">
        <v>1201</v>
      </c>
      <c r="I142" s="22">
        <f>Table1[[#This Row],[Total Weight Imported (lbs)]]*0.453592</f>
        <v>544.76399200000003</v>
      </c>
      <c r="J142" s="23">
        <v>7500</v>
      </c>
      <c r="K142" s="24"/>
    </row>
    <row r="143" spans="1:11" ht="15.75" customHeight="1">
      <c r="A143" s="27" t="s">
        <v>112</v>
      </c>
      <c r="B143" s="27" t="s">
        <v>111</v>
      </c>
      <c r="C143" s="27" t="s">
        <v>111</v>
      </c>
      <c r="D143" s="20" t="str">
        <f>VLOOKUP(Table1[[#This Row],[Point of Origin]],Table2[#All],2,0)</f>
        <v>New Zealand</v>
      </c>
      <c r="E143" s="20" t="str">
        <f>VLOOKUP(Table1[[#This Row],[Point of Origin]],Table2[#All],3,0)</f>
        <v>International</v>
      </c>
      <c r="F143" s="20" t="s">
        <v>65</v>
      </c>
      <c r="G143" s="21" t="s">
        <v>66</v>
      </c>
      <c r="H143" s="22">
        <v>865</v>
      </c>
      <c r="I143" s="22">
        <f>Table1[[#This Row],[Total Weight Imported (lbs)]]*0.453592</f>
        <v>392.35708</v>
      </c>
      <c r="J143" s="23">
        <v>5400</v>
      </c>
      <c r="K143" s="24"/>
    </row>
    <row r="144" spans="1:11" ht="15.75" customHeight="1">
      <c r="A144" s="28" t="s">
        <v>113</v>
      </c>
      <c r="B144" s="28" t="s">
        <v>111</v>
      </c>
      <c r="C144" s="28" t="s">
        <v>111</v>
      </c>
      <c r="D144" s="28" t="str">
        <f>VLOOKUP(Table1[[#This Row],[Point of Origin]],Table2[#All],2,0)</f>
        <v>New Zealand</v>
      </c>
      <c r="E144" s="28" t="str">
        <f>VLOOKUP(Table1[[#This Row],[Point of Origin]],Table2[#All],3,0)</f>
        <v>International</v>
      </c>
      <c r="F144" s="28" t="s">
        <v>65</v>
      </c>
      <c r="G144" s="21" t="s">
        <v>66</v>
      </c>
      <c r="H144" s="22">
        <v>1601</v>
      </c>
      <c r="I144" s="22">
        <f>Table1[[#This Row],[Total Weight Imported (lbs)]]*0.453592</f>
        <v>726.20079199999998</v>
      </c>
      <c r="J144" s="23">
        <v>10000</v>
      </c>
      <c r="K144" s="24"/>
    </row>
    <row r="145" spans="1:11" ht="15.75" customHeight="1">
      <c r="A145" s="28" t="s">
        <v>113</v>
      </c>
      <c r="B145" s="28" t="s">
        <v>111</v>
      </c>
      <c r="C145" s="28" t="s">
        <v>111</v>
      </c>
      <c r="D145" s="28" t="str">
        <f>VLOOKUP(Table1[[#This Row],[Point of Origin]],Table2[#All],2,0)</f>
        <v>New Zealand</v>
      </c>
      <c r="E145" s="28" t="str">
        <f>VLOOKUP(Table1[[#This Row],[Point of Origin]],Table2[#All],3,0)</f>
        <v>International</v>
      </c>
      <c r="F145" s="28" t="s">
        <v>90</v>
      </c>
      <c r="G145" s="21" t="s">
        <v>70</v>
      </c>
      <c r="H145" s="22">
        <v>298</v>
      </c>
      <c r="I145" s="22">
        <f>Table1[[#This Row],[Total Weight Imported (lbs)]]*0.453592</f>
        <v>135.17041599999999</v>
      </c>
      <c r="J145" s="23">
        <v>4050</v>
      </c>
      <c r="K145" s="33"/>
    </row>
    <row r="146" spans="1:11" ht="15.75" customHeight="1">
      <c r="A146" s="27" t="s">
        <v>114</v>
      </c>
      <c r="B146" s="27" t="s">
        <v>111</v>
      </c>
      <c r="C146" s="27" t="s">
        <v>111</v>
      </c>
      <c r="D146" s="20" t="str">
        <f>VLOOKUP(Table1[[#This Row],[Point of Origin]],Table2[#All],2,0)</f>
        <v>New Zealand</v>
      </c>
      <c r="E146" s="20" t="str">
        <f>VLOOKUP(Table1[[#This Row],[Point of Origin]],Table2[#All],3,0)</f>
        <v>International</v>
      </c>
      <c r="F146" s="20" t="s">
        <v>65</v>
      </c>
      <c r="G146" s="21" t="s">
        <v>66</v>
      </c>
      <c r="H146" s="22">
        <v>1441</v>
      </c>
      <c r="I146" s="22">
        <f>Table1[[#This Row],[Total Weight Imported (lbs)]]*0.453592</f>
        <v>653.62607200000002</v>
      </c>
      <c r="J146" s="23">
        <v>8640</v>
      </c>
      <c r="K146" s="24"/>
    </row>
    <row r="147" spans="1:11" ht="15.75" customHeight="1">
      <c r="A147" s="27" t="s">
        <v>114</v>
      </c>
      <c r="B147" s="27" t="s">
        <v>111</v>
      </c>
      <c r="C147" s="27" t="s">
        <v>111</v>
      </c>
      <c r="D147" s="20" t="str">
        <f>VLOOKUP(Table1[[#This Row],[Point of Origin]],Table2[#All],2,0)</f>
        <v>New Zealand</v>
      </c>
      <c r="E147" s="20" t="str">
        <f>VLOOKUP(Table1[[#This Row],[Point of Origin]],Table2[#All],3,0)</f>
        <v>International</v>
      </c>
      <c r="F147" s="27" t="s">
        <v>90</v>
      </c>
      <c r="G147" s="21" t="s">
        <v>70</v>
      </c>
      <c r="H147" s="22">
        <v>298</v>
      </c>
      <c r="I147" s="22">
        <f>Table1[[#This Row],[Total Weight Imported (lbs)]]*0.453592</f>
        <v>135.17041599999999</v>
      </c>
      <c r="J147" s="23">
        <v>3735</v>
      </c>
      <c r="K147" s="33"/>
    </row>
    <row r="148" spans="1:11" ht="15.75" customHeight="1">
      <c r="A148" s="28" t="s">
        <v>115</v>
      </c>
      <c r="B148" s="28" t="s">
        <v>116</v>
      </c>
      <c r="C148" s="28" t="s">
        <v>116</v>
      </c>
      <c r="D148" s="28" t="str">
        <f>VLOOKUP(Table1[[#This Row],[Point of Origin]],Table2[#All],2,0)</f>
        <v>South Korea</v>
      </c>
      <c r="E148" s="28" t="str">
        <f>VLOOKUP(Table1[[#This Row],[Point of Origin]],Table2[#All],3,0)</f>
        <v>International</v>
      </c>
      <c r="F148" s="28" t="s">
        <v>59</v>
      </c>
      <c r="G148" s="21" t="s">
        <v>60</v>
      </c>
      <c r="H148" s="22">
        <v>8.81</v>
      </c>
      <c r="I148" s="22">
        <f>Table1[[#This Row],[Total Weight Imported (lbs)]]*0.453592</f>
        <v>3.9961455200000002</v>
      </c>
      <c r="J148" s="23">
        <v>18</v>
      </c>
      <c r="K148" s="24"/>
    </row>
    <row r="149" spans="1:11" ht="15.75" customHeight="1">
      <c r="A149" s="28" t="s">
        <v>115</v>
      </c>
      <c r="B149" s="28" t="s">
        <v>116</v>
      </c>
      <c r="C149" s="28" t="s">
        <v>116</v>
      </c>
      <c r="D149" s="28" t="str">
        <f>VLOOKUP(Table1[[#This Row],[Point of Origin]],Table2[#All],2,0)</f>
        <v>South Korea</v>
      </c>
      <c r="E149" s="28" t="str">
        <f>VLOOKUP(Table1[[#This Row],[Point of Origin]],Table2[#All],3,0)</f>
        <v>International</v>
      </c>
      <c r="F149" s="36" t="s">
        <v>87</v>
      </c>
      <c r="G149" s="21" t="s">
        <v>20</v>
      </c>
      <c r="H149" s="22">
        <v>2.2000000000000002</v>
      </c>
      <c r="I149" s="22">
        <f>Table1[[#This Row],[Total Weight Imported (lbs)]]*0.453592</f>
        <v>0.99790240000000008</v>
      </c>
      <c r="J149" s="23">
        <v>25</v>
      </c>
      <c r="K149" s="24"/>
    </row>
    <row r="150" spans="1:11" ht="15.75" customHeight="1">
      <c r="A150" s="28" t="s">
        <v>115</v>
      </c>
      <c r="B150" s="28" t="s">
        <v>116</v>
      </c>
      <c r="C150" s="28" t="s">
        <v>116</v>
      </c>
      <c r="D150" s="28" t="str">
        <f>VLOOKUP(Table1[[#This Row],[Point of Origin]],Table2[#All],2,0)</f>
        <v>South Korea</v>
      </c>
      <c r="E150" s="28" t="str">
        <f>VLOOKUP(Table1[[#This Row],[Point of Origin]],Table2[#All],3,0)</f>
        <v>International</v>
      </c>
      <c r="F150" s="28" t="s">
        <v>81</v>
      </c>
      <c r="G150" s="21" t="s">
        <v>62</v>
      </c>
      <c r="H150" s="22">
        <v>22.04</v>
      </c>
      <c r="I150" s="22">
        <f>Table1[[#This Row],[Total Weight Imported (lbs)]]*0.453592</f>
        <v>9.9971676799999987</v>
      </c>
      <c r="J150" s="23">
        <v>80</v>
      </c>
      <c r="K150" s="24"/>
    </row>
    <row r="151" spans="1:11" ht="15.75" customHeight="1">
      <c r="A151" s="28" t="s">
        <v>115</v>
      </c>
      <c r="B151" s="28" t="s">
        <v>116</v>
      </c>
      <c r="C151" s="28" t="s">
        <v>116</v>
      </c>
      <c r="D151" s="28" t="str">
        <f>VLOOKUP(Table1[[#This Row],[Point of Origin]],Table2[#All],2,0)</f>
        <v>South Korea</v>
      </c>
      <c r="E151" s="28" t="str">
        <f>VLOOKUP(Table1[[#This Row],[Point of Origin]],Table2[#All],3,0)</f>
        <v>International</v>
      </c>
      <c r="F151" s="28" t="s">
        <v>117</v>
      </c>
      <c r="G151" s="21" t="s">
        <v>32</v>
      </c>
      <c r="H151" s="22">
        <v>8.81</v>
      </c>
      <c r="I151" s="22">
        <f>Table1[[#This Row],[Total Weight Imported (lbs)]]*0.453592</f>
        <v>3.9961455200000002</v>
      </c>
      <c r="J151" s="23">
        <v>76</v>
      </c>
      <c r="K151" s="33"/>
    </row>
    <row r="152" spans="1:11" ht="15.75" customHeight="1">
      <c r="A152" s="28" t="s">
        <v>115</v>
      </c>
      <c r="B152" s="28" t="s">
        <v>116</v>
      </c>
      <c r="C152" s="28" t="s">
        <v>116</v>
      </c>
      <c r="D152" s="28" t="str">
        <f>VLOOKUP(Table1[[#This Row],[Point of Origin]],Table2[#All],2,0)</f>
        <v>South Korea</v>
      </c>
      <c r="E152" s="28" t="str">
        <f>VLOOKUP(Table1[[#This Row],[Point of Origin]],Table2[#All],3,0)</f>
        <v>International</v>
      </c>
      <c r="F152" s="28" t="s">
        <v>82</v>
      </c>
      <c r="G152" s="21" t="s">
        <v>20</v>
      </c>
      <c r="H152" s="22">
        <v>4.4000000000000004</v>
      </c>
      <c r="I152" s="22">
        <f>Table1[[#This Row],[Total Weight Imported (lbs)]]*0.453592</f>
        <v>1.9958048000000002</v>
      </c>
      <c r="J152" s="23">
        <v>25</v>
      </c>
      <c r="K152" s="24"/>
    </row>
    <row r="153" spans="1:11" ht="15.75" customHeight="1">
      <c r="A153" s="28" t="s">
        <v>115</v>
      </c>
      <c r="B153" s="28" t="s">
        <v>116</v>
      </c>
      <c r="C153" s="28" t="s">
        <v>116</v>
      </c>
      <c r="D153" s="28" t="str">
        <f>VLOOKUP(Table1[[#This Row],[Point of Origin]],Table2[#All],2,0)</f>
        <v>South Korea</v>
      </c>
      <c r="E153" s="28" t="str">
        <f>VLOOKUP(Table1[[#This Row],[Point of Origin]],Table2[#All],3,0)</f>
        <v>International</v>
      </c>
      <c r="F153" s="28" t="s">
        <v>118</v>
      </c>
      <c r="G153" s="21" t="s">
        <v>32</v>
      </c>
      <c r="H153" s="22">
        <v>2.2000000000000002</v>
      </c>
      <c r="I153" s="22">
        <f>Table1[[#This Row],[Total Weight Imported (lbs)]]*0.453592</f>
        <v>0.99790240000000008</v>
      </c>
      <c r="J153" s="23">
        <v>17.5</v>
      </c>
      <c r="K153" s="33"/>
    </row>
    <row r="154" spans="1:11" ht="15.75" customHeight="1">
      <c r="A154" s="28" t="s">
        <v>115</v>
      </c>
      <c r="B154" s="28" t="s">
        <v>116</v>
      </c>
      <c r="C154" s="28" t="s">
        <v>116</v>
      </c>
      <c r="D154" s="28" t="str">
        <f>VLOOKUP(Table1[[#This Row],[Point of Origin]],Table2[#All],2,0)</f>
        <v>South Korea</v>
      </c>
      <c r="E154" s="28" t="str">
        <f>VLOOKUP(Table1[[#This Row],[Point of Origin]],Table2[#All],3,0)</f>
        <v>International</v>
      </c>
      <c r="F154" s="28" t="s">
        <v>36</v>
      </c>
      <c r="G154" s="21" t="s">
        <v>57</v>
      </c>
      <c r="H154" s="22">
        <v>13.22</v>
      </c>
      <c r="I154" s="22">
        <f>Table1[[#This Row],[Total Weight Imported (lbs)]]*0.453592</f>
        <v>5.9964862400000003</v>
      </c>
      <c r="J154" s="23">
        <v>54</v>
      </c>
      <c r="K154" s="24"/>
    </row>
    <row r="155" spans="1:11" ht="15.75" customHeight="1">
      <c r="A155" s="28" t="s">
        <v>115</v>
      </c>
      <c r="B155" s="28" t="s">
        <v>116</v>
      </c>
      <c r="C155" s="28" t="s">
        <v>116</v>
      </c>
      <c r="D155" s="28" t="str">
        <f>VLOOKUP(Table1[[#This Row],[Point of Origin]],Table2[#All],2,0)</f>
        <v>South Korea</v>
      </c>
      <c r="E155" s="28" t="str">
        <f>VLOOKUP(Table1[[#This Row],[Point of Origin]],Table2[#All],3,0)</f>
        <v>International</v>
      </c>
      <c r="F155" s="28" t="s">
        <v>119</v>
      </c>
      <c r="G155" s="21" t="s">
        <v>120</v>
      </c>
      <c r="H155" s="22">
        <v>22.04</v>
      </c>
      <c r="I155" s="22">
        <f>Table1[[#This Row],[Total Weight Imported (lbs)]]*0.453592</f>
        <v>9.9971676799999987</v>
      </c>
      <c r="J155" s="23">
        <v>60</v>
      </c>
      <c r="K155" s="33"/>
    </row>
    <row r="156" spans="1:11" ht="15.75" customHeight="1">
      <c r="A156" s="28" t="s">
        <v>115</v>
      </c>
      <c r="B156" s="28" t="s">
        <v>116</v>
      </c>
      <c r="C156" s="28" t="s">
        <v>116</v>
      </c>
      <c r="D156" s="28" t="str">
        <f>VLOOKUP(Table1[[#This Row],[Point of Origin]],Table2[#All],2,0)</f>
        <v>South Korea</v>
      </c>
      <c r="E156" s="28" t="str">
        <f>VLOOKUP(Table1[[#This Row],[Point of Origin]],Table2[#All],3,0)</f>
        <v>International</v>
      </c>
      <c r="F156" s="28" t="s">
        <v>121</v>
      </c>
      <c r="G156" s="21" t="s">
        <v>122</v>
      </c>
      <c r="H156" s="22">
        <v>22.04</v>
      </c>
      <c r="I156" s="22">
        <f>Table1[[#This Row],[Total Weight Imported (lbs)]]*0.453592</f>
        <v>9.9971676799999987</v>
      </c>
      <c r="J156" s="23">
        <v>58</v>
      </c>
      <c r="K156" s="33"/>
    </row>
    <row r="157" spans="1:11" ht="15.75" customHeight="1">
      <c r="A157" s="28" t="s">
        <v>115</v>
      </c>
      <c r="B157" s="28" t="s">
        <v>116</v>
      </c>
      <c r="C157" s="28" t="s">
        <v>116</v>
      </c>
      <c r="D157" s="28" t="str">
        <f>VLOOKUP(Table1[[#This Row],[Point of Origin]],Table2[#All],2,0)</f>
        <v>South Korea</v>
      </c>
      <c r="E157" s="28" t="str">
        <f>VLOOKUP(Table1[[#This Row],[Point of Origin]],Table2[#All],3,0)</f>
        <v>International</v>
      </c>
      <c r="F157" s="36" t="s">
        <v>71</v>
      </c>
      <c r="G157" s="21" t="s">
        <v>72</v>
      </c>
      <c r="H157" s="22">
        <v>13.22</v>
      </c>
      <c r="I157" s="22">
        <f>Table1[[#This Row],[Total Weight Imported (lbs)]]*0.453592</f>
        <v>5.9964862400000003</v>
      </c>
      <c r="J157" s="23">
        <v>65</v>
      </c>
      <c r="K157" s="24"/>
    </row>
    <row r="158" spans="1:11" ht="15.75" customHeight="1">
      <c r="A158" s="27" t="s">
        <v>123</v>
      </c>
      <c r="B158" s="27" t="s">
        <v>116</v>
      </c>
      <c r="C158" s="27" t="s">
        <v>116</v>
      </c>
      <c r="D158" s="20" t="str">
        <f>VLOOKUP(Table1[[#This Row],[Point of Origin]],Table2[#All],2,0)</f>
        <v>South Korea</v>
      </c>
      <c r="E158" s="20" t="str">
        <f>VLOOKUP(Table1[[#This Row],[Point of Origin]],Table2[#All],3,0)</f>
        <v>International</v>
      </c>
      <c r="F158" s="20" t="s">
        <v>59</v>
      </c>
      <c r="G158" s="21" t="s">
        <v>60</v>
      </c>
      <c r="H158" s="22">
        <v>4.4000000000000004</v>
      </c>
      <c r="I158" s="22">
        <f>Table1[[#This Row],[Total Weight Imported (lbs)]]*0.453592</f>
        <v>1.9958048000000002</v>
      </c>
      <c r="J158" s="23">
        <v>25</v>
      </c>
      <c r="K158" s="24"/>
    </row>
    <row r="159" spans="1:11" ht="15.75" customHeight="1">
      <c r="A159" s="27" t="s">
        <v>123</v>
      </c>
      <c r="B159" s="27" t="s">
        <v>116</v>
      </c>
      <c r="C159" s="27" t="s">
        <v>116</v>
      </c>
      <c r="D159" s="20" t="str">
        <f>VLOOKUP(Table1[[#This Row],[Point of Origin]],Table2[#All],2,0)</f>
        <v>South Korea</v>
      </c>
      <c r="E159" s="20" t="str">
        <f>VLOOKUP(Table1[[#This Row],[Point of Origin]],Table2[#All],3,0)</f>
        <v>International</v>
      </c>
      <c r="F159" s="27" t="s">
        <v>87</v>
      </c>
      <c r="G159" s="21" t="s">
        <v>20</v>
      </c>
      <c r="H159" s="22">
        <v>2.2000000000000002</v>
      </c>
      <c r="I159" s="22">
        <f>Table1[[#This Row],[Total Weight Imported (lbs)]]*0.453592</f>
        <v>0.99790240000000008</v>
      </c>
      <c r="J159" s="23">
        <v>26</v>
      </c>
      <c r="K159" s="24"/>
    </row>
    <row r="160" spans="1:11" ht="15.75" customHeight="1">
      <c r="A160" s="27" t="s">
        <v>123</v>
      </c>
      <c r="B160" s="27" t="s">
        <v>116</v>
      </c>
      <c r="C160" s="27" t="s">
        <v>116</v>
      </c>
      <c r="D160" s="20" t="str">
        <f>VLOOKUP(Table1[[#This Row],[Point of Origin]],Table2[#All],2,0)</f>
        <v>South Korea</v>
      </c>
      <c r="E160" s="20" t="str">
        <f>VLOOKUP(Table1[[#This Row],[Point of Origin]],Table2[#All],3,0)</f>
        <v>International</v>
      </c>
      <c r="F160" s="27" t="s">
        <v>124</v>
      </c>
      <c r="G160" s="21" t="s">
        <v>30</v>
      </c>
      <c r="H160" s="22">
        <v>6.61</v>
      </c>
      <c r="I160" s="22">
        <f>Table1[[#This Row],[Total Weight Imported (lbs)]]*0.453592</f>
        <v>2.9982431200000002</v>
      </c>
      <c r="J160" s="23">
        <v>20</v>
      </c>
      <c r="K160" s="24"/>
    </row>
    <row r="161" spans="1:32" ht="15.75" customHeight="1">
      <c r="A161" s="27" t="s">
        <v>123</v>
      </c>
      <c r="B161" s="27" t="s">
        <v>116</v>
      </c>
      <c r="C161" s="27" t="s">
        <v>116</v>
      </c>
      <c r="D161" s="20" t="str">
        <f>VLOOKUP(Table1[[#This Row],[Point of Origin]],Table2[#All],2,0)</f>
        <v>South Korea</v>
      </c>
      <c r="E161" s="20" t="str">
        <f>VLOOKUP(Table1[[#This Row],[Point of Origin]],Table2[#All],3,0)</f>
        <v>International</v>
      </c>
      <c r="F161" s="20" t="s">
        <v>117</v>
      </c>
      <c r="G161" s="21" t="s">
        <v>32</v>
      </c>
      <c r="H161" s="22">
        <v>8.81</v>
      </c>
      <c r="I161" s="22">
        <f>Table1[[#This Row],[Total Weight Imported (lbs)]]*0.453592</f>
        <v>3.9961455200000002</v>
      </c>
      <c r="J161" s="23">
        <v>38</v>
      </c>
      <c r="K161" s="33"/>
    </row>
    <row r="162" spans="1:32" ht="15.75" customHeight="1">
      <c r="A162" s="27" t="s">
        <v>123</v>
      </c>
      <c r="B162" s="27" t="s">
        <v>116</v>
      </c>
      <c r="C162" s="27" t="s">
        <v>116</v>
      </c>
      <c r="D162" s="20" t="str">
        <f>VLOOKUP(Table1[[#This Row],[Point of Origin]],Table2[#All],2,0)</f>
        <v>South Korea</v>
      </c>
      <c r="E162" s="20" t="str">
        <f>VLOOKUP(Table1[[#This Row],[Point of Origin]],Table2[#All],3,0)</f>
        <v>International</v>
      </c>
      <c r="F162" s="27" t="s">
        <v>82</v>
      </c>
      <c r="G162" s="21" t="s">
        <v>20</v>
      </c>
      <c r="H162" s="22">
        <v>6.61</v>
      </c>
      <c r="I162" s="22">
        <f>Table1[[#This Row],[Total Weight Imported (lbs)]]*0.453592</f>
        <v>2.9982431200000002</v>
      </c>
      <c r="J162" s="23">
        <v>60</v>
      </c>
      <c r="K162" s="24"/>
    </row>
    <row r="163" spans="1:32" ht="15.75" customHeight="1">
      <c r="A163" s="27" t="s">
        <v>123</v>
      </c>
      <c r="B163" s="27" t="s">
        <v>116</v>
      </c>
      <c r="C163" s="27" t="s">
        <v>116</v>
      </c>
      <c r="D163" s="20" t="str">
        <f>VLOOKUP(Table1[[#This Row],[Point of Origin]],Table2[#All],2,0)</f>
        <v>South Korea</v>
      </c>
      <c r="E163" s="20" t="str">
        <f>VLOOKUP(Table1[[#This Row],[Point of Origin]],Table2[#All],3,0)</f>
        <v>International</v>
      </c>
      <c r="F163" s="27" t="s">
        <v>50</v>
      </c>
      <c r="G163" s="21" t="s">
        <v>51</v>
      </c>
      <c r="H163" s="22">
        <v>2.2000000000000002</v>
      </c>
      <c r="I163" s="22">
        <f>Table1[[#This Row],[Total Weight Imported (lbs)]]*0.453592</f>
        <v>0.99790240000000008</v>
      </c>
      <c r="J163" s="23">
        <v>17.5</v>
      </c>
      <c r="K163" s="24"/>
    </row>
    <row r="164" spans="1:32" ht="15.75" customHeight="1">
      <c r="A164" s="27" t="s">
        <v>123</v>
      </c>
      <c r="B164" s="27" t="s">
        <v>116</v>
      </c>
      <c r="C164" s="27" t="s">
        <v>116</v>
      </c>
      <c r="D164" s="20" t="str">
        <f>VLOOKUP(Table1[[#This Row],[Point of Origin]],Table2[#All],2,0)</f>
        <v>South Korea</v>
      </c>
      <c r="E164" s="20" t="str">
        <f>VLOOKUP(Table1[[#This Row],[Point of Origin]],Table2[#All],3,0)</f>
        <v>International</v>
      </c>
      <c r="F164" s="27" t="s">
        <v>63</v>
      </c>
      <c r="G164" s="21" t="s">
        <v>64</v>
      </c>
      <c r="H164" s="22">
        <v>35.270000000000003</v>
      </c>
      <c r="I164" s="22">
        <f>Table1[[#This Row],[Total Weight Imported (lbs)]]*0.453592</f>
        <v>15.998189840000002</v>
      </c>
      <c r="J164" s="23">
        <v>76</v>
      </c>
      <c r="K164" s="33"/>
    </row>
    <row r="165" spans="1:32" ht="15.75" customHeight="1">
      <c r="A165" s="27" t="s">
        <v>123</v>
      </c>
      <c r="B165" s="27" t="s">
        <v>116</v>
      </c>
      <c r="C165" s="27" t="s">
        <v>116</v>
      </c>
      <c r="D165" s="20" t="str">
        <f>VLOOKUP(Table1[[#This Row],[Point of Origin]],Table2[#All],2,0)</f>
        <v>South Korea</v>
      </c>
      <c r="E165" s="20" t="str">
        <f>VLOOKUP(Table1[[#This Row],[Point of Origin]],Table2[#All],3,0)</f>
        <v>International</v>
      </c>
      <c r="F165" s="27" t="s">
        <v>50</v>
      </c>
      <c r="G165" s="21" t="s">
        <v>51</v>
      </c>
      <c r="H165" s="22">
        <v>22.04</v>
      </c>
      <c r="I165" s="22">
        <f>Table1[[#This Row],[Total Weight Imported (lbs)]]*0.453592</f>
        <v>9.9971676799999987</v>
      </c>
      <c r="J165" s="23">
        <v>44</v>
      </c>
      <c r="K165" s="24"/>
    </row>
    <row r="166" spans="1:32" ht="15.75" customHeight="1">
      <c r="A166" s="27" t="s">
        <v>123</v>
      </c>
      <c r="B166" s="27" t="s">
        <v>116</v>
      </c>
      <c r="C166" s="27" t="s">
        <v>116</v>
      </c>
      <c r="D166" s="20" t="str">
        <f>VLOOKUP(Table1[[#This Row],[Point of Origin]],Table2[#All],2,0)</f>
        <v>South Korea</v>
      </c>
      <c r="E166" s="20" t="str">
        <f>VLOOKUP(Table1[[#This Row],[Point of Origin]],Table2[#All],3,0)</f>
        <v>International</v>
      </c>
      <c r="F166" s="27" t="s">
        <v>36</v>
      </c>
      <c r="G166" s="21" t="s">
        <v>57</v>
      </c>
      <c r="H166" s="22">
        <v>13.22</v>
      </c>
      <c r="I166" s="22">
        <f>Table1[[#This Row],[Total Weight Imported (lbs)]]*0.453592</f>
        <v>5.9964862400000003</v>
      </c>
      <c r="J166" s="23">
        <v>27</v>
      </c>
      <c r="K166" s="24"/>
    </row>
    <row r="167" spans="1:32" ht="15.75" customHeight="1">
      <c r="A167" s="27" t="s">
        <v>123</v>
      </c>
      <c r="B167" s="27" t="s">
        <v>116</v>
      </c>
      <c r="C167" s="27" t="s">
        <v>116</v>
      </c>
      <c r="D167" s="20" t="str">
        <f>VLOOKUP(Table1[[#This Row],[Point of Origin]],Table2[#All],2,0)</f>
        <v>South Korea</v>
      </c>
      <c r="E167" s="20" t="str">
        <f>VLOOKUP(Table1[[#This Row],[Point of Origin]],Table2[#All],3,0)</f>
        <v>International</v>
      </c>
      <c r="F167" s="27" t="s">
        <v>119</v>
      </c>
      <c r="G167" s="21" t="s">
        <v>120</v>
      </c>
      <c r="H167" s="22">
        <v>44.09</v>
      </c>
      <c r="I167" s="22">
        <f>Table1[[#This Row],[Total Weight Imported (lbs)]]*0.453592</f>
        <v>19.998871280000003</v>
      </c>
      <c r="J167" s="23">
        <v>120</v>
      </c>
      <c r="K167" s="33"/>
    </row>
    <row r="168" spans="1:32" ht="15.75" customHeight="1">
      <c r="A168" s="27" t="s">
        <v>123</v>
      </c>
      <c r="B168" s="27" t="s">
        <v>116</v>
      </c>
      <c r="C168" s="27" t="s">
        <v>116</v>
      </c>
      <c r="D168" s="20" t="str">
        <f>VLOOKUP(Table1[[#This Row],[Point of Origin]],Table2[#All],2,0)</f>
        <v>South Korea</v>
      </c>
      <c r="E168" s="20" t="str">
        <f>VLOOKUP(Table1[[#This Row],[Point of Origin]],Table2[#All],3,0)</f>
        <v>International</v>
      </c>
      <c r="F168" s="27" t="s">
        <v>121</v>
      </c>
      <c r="G168" s="21" t="s">
        <v>122</v>
      </c>
      <c r="H168" s="22">
        <v>22.04</v>
      </c>
      <c r="I168" s="22">
        <f>Table1[[#This Row],[Total Weight Imported (lbs)]]*0.453592</f>
        <v>9.9971676799999987</v>
      </c>
      <c r="J168" s="23">
        <v>70</v>
      </c>
      <c r="K168" s="33"/>
    </row>
    <row r="169" spans="1:32" ht="15.75" customHeight="1">
      <c r="A169" s="27" t="s">
        <v>123</v>
      </c>
      <c r="B169" s="27" t="s">
        <v>116</v>
      </c>
      <c r="C169" s="27" t="s">
        <v>116</v>
      </c>
      <c r="D169" s="20" t="str">
        <f>VLOOKUP(Table1[[#This Row],[Point of Origin]],Table2[#All],2,0)</f>
        <v>South Korea</v>
      </c>
      <c r="E169" s="20" t="str">
        <f>VLOOKUP(Table1[[#This Row],[Point of Origin]],Table2[#All],3,0)</f>
        <v>International</v>
      </c>
      <c r="F169" s="27" t="s">
        <v>71</v>
      </c>
      <c r="G169" s="21" t="s">
        <v>72</v>
      </c>
      <c r="H169" s="22">
        <v>39.68</v>
      </c>
      <c r="I169" s="22">
        <f>Table1[[#This Row],[Total Weight Imported (lbs)]]*0.453592</f>
        <v>17.998530559999999</v>
      </c>
      <c r="J169" s="23">
        <v>104</v>
      </c>
      <c r="K169" s="24"/>
    </row>
    <row r="170" spans="1:32" ht="15.75" customHeight="1">
      <c r="A170" s="28" t="s">
        <v>125</v>
      </c>
      <c r="B170" s="28" t="s">
        <v>116</v>
      </c>
      <c r="C170" s="28" t="s">
        <v>116</v>
      </c>
      <c r="D170" s="28" t="str">
        <f>VLOOKUP(Table1[[#This Row],[Point of Origin]],Table2[#All],2,0)</f>
        <v>South Korea</v>
      </c>
      <c r="E170" s="28" t="str">
        <f>VLOOKUP(Table1[[#This Row],[Point of Origin]],Table2[#All],3,0)</f>
        <v>International</v>
      </c>
      <c r="F170" s="36" t="s">
        <v>119</v>
      </c>
      <c r="G170" s="21" t="s">
        <v>120</v>
      </c>
      <c r="H170" s="22">
        <v>551</v>
      </c>
      <c r="I170" s="22">
        <f>Table1[[#This Row],[Total Weight Imported (lbs)]]*0.453592</f>
        <v>249.929192</v>
      </c>
      <c r="J170" s="23">
        <v>800</v>
      </c>
      <c r="K170" s="37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</row>
    <row r="171" spans="1:32" ht="15.75" customHeight="1">
      <c r="A171" s="28" t="s">
        <v>125</v>
      </c>
      <c r="B171" s="28" t="s">
        <v>116</v>
      </c>
      <c r="C171" s="28" t="s">
        <v>116</v>
      </c>
      <c r="D171" s="28" t="str">
        <f>VLOOKUP(Table1[[#This Row],[Point of Origin]],Table2[#All],2,0)</f>
        <v>South Korea</v>
      </c>
      <c r="E171" s="28" t="str">
        <f>VLOOKUP(Table1[[#This Row],[Point of Origin]],Table2[#All],3,0)</f>
        <v>International</v>
      </c>
      <c r="F171" s="36" t="s">
        <v>71</v>
      </c>
      <c r="G171" s="21" t="s">
        <v>72</v>
      </c>
      <c r="H171" s="22">
        <v>445</v>
      </c>
      <c r="I171" s="22">
        <f>Table1[[#This Row],[Total Weight Imported (lbs)]]*0.453592</f>
        <v>201.84844000000001</v>
      </c>
      <c r="J171" s="23">
        <v>880</v>
      </c>
      <c r="K171" s="38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</row>
    <row r="172" spans="1:32" ht="15.75" customHeight="1">
      <c r="A172" s="28" t="s">
        <v>125</v>
      </c>
      <c r="B172" s="28" t="s">
        <v>116</v>
      </c>
      <c r="C172" s="28" t="s">
        <v>116</v>
      </c>
      <c r="D172" s="28" t="str">
        <f>VLOOKUP(Table1[[#This Row],[Point of Origin]],Table2[#All],2,0)</f>
        <v>South Korea</v>
      </c>
      <c r="E172" s="28" t="str">
        <f>VLOOKUP(Table1[[#This Row],[Point of Origin]],Table2[#All],3,0)</f>
        <v>International</v>
      </c>
      <c r="F172" s="28" t="s">
        <v>126</v>
      </c>
      <c r="G172" s="21" t="s">
        <v>127</v>
      </c>
      <c r="H172" s="22">
        <v>353</v>
      </c>
      <c r="I172" s="22">
        <f>Table1[[#This Row],[Total Weight Imported (lbs)]]*0.453592</f>
        <v>160.117976</v>
      </c>
      <c r="J172" s="23">
        <v>512</v>
      </c>
      <c r="K172" s="37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</row>
    <row r="173" spans="1:32" ht="15.75" customHeight="1">
      <c r="A173" s="28" t="s">
        <v>125</v>
      </c>
      <c r="B173" s="28" t="s">
        <v>116</v>
      </c>
      <c r="C173" s="28" t="s">
        <v>116</v>
      </c>
      <c r="D173" s="28" t="str">
        <f>VLOOKUP(Table1[[#This Row],[Point of Origin]],Table2[#All],2,0)</f>
        <v>South Korea</v>
      </c>
      <c r="E173" s="28" t="str">
        <f>VLOOKUP(Table1[[#This Row],[Point of Origin]],Table2[#All],3,0)</f>
        <v>International</v>
      </c>
      <c r="F173" s="36" t="s">
        <v>119</v>
      </c>
      <c r="G173" s="21" t="s">
        <v>120</v>
      </c>
      <c r="H173" s="22">
        <v>1102</v>
      </c>
      <c r="I173" s="22">
        <f>Table1[[#This Row],[Total Weight Imported (lbs)]]*0.453592</f>
        <v>499.858384</v>
      </c>
      <c r="J173" s="23">
        <v>1800</v>
      </c>
      <c r="K173" s="37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</row>
    <row r="174" spans="1:32" ht="15.75" customHeight="1">
      <c r="A174" s="28" t="s">
        <v>125</v>
      </c>
      <c r="B174" s="28" t="s">
        <v>116</v>
      </c>
      <c r="C174" s="28" t="s">
        <v>116</v>
      </c>
      <c r="D174" s="28" t="str">
        <f>VLOOKUP(Table1[[#This Row],[Point of Origin]],Table2[#All],2,0)</f>
        <v>South Korea</v>
      </c>
      <c r="E174" s="28" t="str">
        <f>VLOOKUP(Table1[[#This Row],[Point of Origin]],Table2[#All],3,0)</f>
        <v>International</v>
      </c>
      <c r="F174" s="28" t="s">
        <v>117</v>
      </c>
      <c r="G174" s="21" t="s">
        <v>32</v>
      </c>
      <c r="H174" s="22">
        <v>17</v>
      </c>
      <c r="I174" s="22">
        <f>Table1[[#This Row],[Total Weight Imported (lbs)]]*0.453592</f>
        <v>7.7110640000000004</v>
      </c>
      <c r="J174" s="23">
        <v>132</v>
      </c>
      <c r="K174" s="37"/>
    </row>
    <row r="175" spans="1:32" ht="15.75" customHeight="1">
      <c r="A175" s="28" t="s">
        <v>125</v>
      </c>
      <c r="B175" s="28" t="s">
        <v>116</v>
      </c>
      <c r="C175" s="28" t="s">
        <v>116</v>
      </c>
      <c r="D175" s="28" t="str">
        <f>VLOOKUP(Table1[[#This Row],[Point of Origin]],Table2[#All],2,0)</f>
        <v>South Korea</v>
      </c>
      <c r="E175" s="28" t="str">
        <f>VLOOKUP(Table1[[#This Row],[Point of Origin]],Table2[#All],3,0)</f>
        <v>International</v>
      </c>
      <c r="F175" s="28" t="s">
        <v>36</v>
      </c>
      <c r="G175" s="21" t="s">
        <v>57</v>
      </c>
      <c r="H175" s="22">
        <v>22</v>
      </c>
      <c r="I175" s="22">
        <f>Table1[[#This Row],[Total Weight Imported (lbs)]]*0.453592</f>
        <v>9.979023999999999</v>
      </c>
      <c r="J175" s="23">
        <v>48</v>
      </c>
      <c r="K175" s="38"/>
    </row>
    <row r="176" spans="1:32" ht="15.75" customHeight="1">
      <c r="A176" s="28" t="s">
        <v>125</v>
      </c>
      <c r="B176" s="28" t="s">
        <v>116</v>
      </c>
      <c r="C176" s="28" t="s">
        <v>116</v>
      </c>
      <c r="D176" s="28" t="str">
        <f>VLOOKUP(Table1[[#This Row],[Point of Origin]],Table2[#All],2,0)</f>
        <v>South Korea</v>
      </c>
      <c r="E176" s="28" t="str">
        <f>VLOOKUP(Table1[[#This Row],[Point of Origin]],Table2[#All],3,0)</f>
        <v>International</v>
      </c>
      <c r="F176" s="28" t="s">
        <v>36</v>
      </c>
      <c r="G176" s="21" t="s">
        <v>57</v>
      </c>
      <c r="H176" s="22">
        <v>44</v>
      </c>
      <c r="I176" s="22">
        <f>Table1[[#This Row],[Total Weight Imported (lbs)]]*0.453592</f>
        <v>19.958047999999998</v>
      </c>
      <c r="J176" s="23">
        <v>52</v>
      </c>
      <c r="K176" s="38"/>
    </row>
    <row r="177" spans="1:11" ht="15.75" customHeight="1">
      <c r="A177" s="28" t="s">
        <v>125</v>
      </c>
      <c r="B177" s="28" t="s">
        <v>116</v>
      </c>
      <c r="C177" s="28" t="s">
        <v>116</v>
      </c>
      <c r="D177" s="28" t="str">
        <f>VLOOKUP(Table1[[#This Row],[Point of Origin]],Table2[#All],2,0)</f>
        <v>South Korea</v>
      </c>
      <c r="E177" s="28" t="str">
        <f>VLOOKUP(Table1[[#This Row],[Point of Origin]],Table2[#All],3,0)</f>
        <v>International</v>
      </c>
      <c r="F177" s="28" t="s">
        <v>36</v>
      </c>
      <c r="G177" s="21" t="s">
        <v>57</v>
      </c>
      <c r="H177" s="22">
        <v>7</v>
      </c>
      <c r="I177" s="22">
        <f>Table1[[#This Row],[Total Weight Imported (lbs)]]*0.453592</f>
        <v>3.175144</v>
      </c>
      <c r="J177" s="23">
        <v>22.4</v>
      </c>
      <c r="K177" s="38"/>
    </row>
    <row r="178" spans="1:11" ht="15.75" customHeight="1">
      <c r="A178" s="28" t="s">
        <v>125</v>
      </c>
      <c r="B178" s="28" t="s">
        <v>116</v>
      </c>
      <c r="C178" s="28" t="s">
        <v>116</v>
      </c>
      <c r="D178" s="28" t="str">
        <f>VLOOKUP(Table1[[#This Row],[Point of Origin]],Table2[#All],2,0)</f>
        <v>South Korea</v>
      </c>
      <c r="E178" s="28" t="str">
        <f>VLOOKUP(Table1[[#This Row],[Point of Origin]],Table2[#All],3,0)</f>
        <v>International</v>
      </c>
      <c r="F178" s="36" t="s">
        <v>63</v>
      </c>
      <c r="G178" s="21" t="s">
        <v>64</v>
      </c>
      <c r="H178" s="22">
        <v>110</v>
      </c>
      <c r="I178" s="22">
        <f>Table1[[#This Row],[Total Weight Imported (lbs)]]*0.453592</f>
        <v>49.895119999999999</v>
      </c>
      <c r="J178" s="23">
        <v>180</v>
      </c>
      <c r="K178" s="37"/>
    </row>
    <row r="179" spans="1:11" ht="15.75" customHeight="1">
      <c r="A179" s="28" t="s">
        <v>125</v>
      </c>
      <c r="B179" s="28" t="s">
        <v>116</v>
      </c>
      <c r="C179" s="28" t="s">
        <v>116</v>
      </c>
      <c r="D179" s="28" t="str">
        <f>VLOOKUP(Table1[[#This Row],[Point of Origin]],Table2[#All],2,0)</f>
        <v>South Korea</v>
      </c>
      <c r="E179" s="28" t="str">
        <f>VLOOKUP(Table1[[#This Row],[Point of Origin]],Table2[#All],3,0)</f>
        <v>International</v>
      </c>
      <c r="F179" s="28" t="s">
        <v>59</v>
      </c>
      <c r="G179" s="21" t="s">
        <v>60</v>
      </c>
      <c r="H179" s="22">
        <v>26</v>
      </c>
      <c r="I179" s="22">
        <f>Table1[[#This Row],[Total Weight Imported (lbs)]]*0.453592</f>
        <v>11.793392000000001</v>
      </c>
      <c r="J179" s="23">
        <v>108</v>
      </c>
      <c r="K179" s="38"/>
    </row>
    <row r="180" spans="1:11" ht="15.75" customHeight="1">
      <c r="A180" s="28" t="s">
        <v>125</v>
      </c>
      <c r="B180" s="28" t="s">
        <v>116</v>
      </c>
      <c r="C180" s="28" t="s">
        <v>116</v>
      </c>
      <c r="D180" s="28" t="str">
        <f>VLOOKUP(Table1[[#This Row],[Point of Origin]],Table2[#All],2,0)</f>
        <v>South Korea</v>
      </c>
      <c r="E180" s="28" t="str">
        <f>VLOOKUP(Table1[[#This Row],[Point of Origin]],Table2[#All],3,0)</f>
        <v>International</v>
      </c>
      <c r="F180" s="28" t="s">
        <v>59</v>
      </c>
      <c r="G180" s="21" t="s">
        <v>60</v>
      </c>
      <c r="H180" s="22">
        <v>26</v>
      </c>
      <c r="I180" s="22">
        <f>Table1[[#This Row],[Total Weight Imported (lbs)]]*0.453592</f>
        <v>11.793392000000001</v>
      </c>
      <c r="J180" s="23">
        <v>108</v>
      </c>
      <c r="K180" s="38"/>
    </row>
    <row r="181" spans="1:11" ht="15.75" customHeight="1">
      <c r="A181" s="28" t="s">
        <v>125</v>
      </c>
      <c r="B181" s="28" t="s">
        <v>116</v>
      </c>
      <c r="C181" s="28" t="s">
        <v>116</v>
      </c>
      <c r="D181" s="28" t="str">
        <f>VLOOKUP(Table1[[#This Row],[Point of Origin]],Table2[#All],2,0)</f>
        <v>South Korea</v>
      </c>
      <c r="E181" s="28" t="str">
        <f>VLOOKUP(Table1[[#This Row],[Point of Origin]],Table2[#All],3,0)</f>
        <v>International</v>
      </c>
      <c r="F181" s="28" t="s">
        <v>81</v>
      </c>
      <c r="G181" s="21" t="s">
        <v>62</v>
      </c>
      <c r="H181" s="22">
        <v>22</v>
      </c>
      <c r="I181" s="22">
        <f>Table1[[#This Row],[Total Weight Imported (lbs)]]*0.453592</f>
        <v>9.979023999999999</v>
      </c>
      <c r="J181" s="23">
        <v>88</v>
      </c>
      <c r="K181" s="38"/>
    </row>
    <row r="182" spans="1:11" ht="15.75" customHeight="1">
      <c r="A182" s="28" t="s">
        <v>125</v>
      </c>
      <c r="B182" s="28" t="s">
        <v>116</v>
      </c>
      <c r="C182" s="28" t="s">
        <v>116</v>
      </c>
      <c r="D182" s="28" t="str">
        <f>VLOOKUP(Table1[[#This Row],[Point of Origin]],Table2[#All],2,0)</f>
        <v>South Korea</v>
      </c>
      <c r="E182" s="28" t="str">
        <f>VLOOKUP(Table1[[#This Row],[Point of Origin]],Table2[#All],3,0)</f>
        <v>International</v>
      </c>
      <c r="F182" s="28" t="s">
        <v>81</v>
      </c>
      <c r="G182" s="21" t="s">
        <v>62</v>
      </c>
      <c r="H182" s="22">
        <v>18</v>
      </c>
      <c r="I182" s="22">
        <f>Table1[[#This Row],[Total Weight Imported (lbs)]]*0.453592</f>
        <v>8.1646560000000008</v>
      </c>
      <c r="J182" s="23">
        <v>56</v>
      </c>
      <c r="K182" s="38"/>
    </row>
    <row r="183" spans="1:11" ht="15.75" customHeight="1">
      <c r="A183" s="28" t="s">
        <v>125</v>
      </c>
      <c r="B183" s="28" t="s">
        <v>116</v>
      </c>
      <c r="C183" s="28" t="s">
        <v>116</v>
      </c>
      <c r="D183" s="28" t="str">
        <f>VLOOKUP(Table1[[#This Row],[Point of Origin]],Table2[#All],2,0)</f>
        <v>South Korea</v>
      </c>
      <c r="E183" s="28" t="str">
        <f>VLOOKUP(Table1[[#This Row],[Point of Origin]],Table2[#All],3,0)</f>
        <v>International</v>
      </c>
      <c r="F183" s="28" t="s">
        <v>81</v>
      </c>
      <c r="G183" s="21" t="s">
        <v>62</v>
      </c>
      <c r="H183" s="22">
        <v>44</v>
      </c>
      <c r="I183" s="22">
        <f>Table1[[#This Row],[Total Weight Imported (lbs)]]*0.453592</f>
        <v>19.958047999999998</v>
      </c>
      <c r="J183" s="23">
        <v>160</v>
      </c>
      <c r="K183" s="38"/>
    </row>
    <row r="184" spans="1:11" ht="15.75" customHeight="1">
      <c r="A184" s="28" t="s">
        <v>125</v>
      </c>
      <c r="B184" s="28" t="s">
        <v>116</v>
      </c>
      <c r="C184" s="28" t="s">
        <v>116</v>
      </c>
      <c r="D184" s="28" t="str">
        <f>VLOOKUP(Table1[[#This Row],[Point of Origin]],Table2[#All],2,0)</f>
        <v>South Korea</v>
      </c>
      <c r="E184" s="28" t="str">
        <f>VLOOKUP(Table1[[#This Row],[Point of Origin]],Table2[#All],3,0)</f>
        <v>International</v>
      </c>
      <c r="F184" s="28" t="s">
        <v>81</v>
      </c>
      <c r="G184" s="21" t="s">
        <v>62</v>
      </c>
      <c r="H184" s="22">
        <v>44</v>
      </c>
      <c r="I184" s="22">
        <f>Table1[[#This Row],[Total Weight Imported (lbs)]]*0.453592</f>
        <v>19.958047999999998</v>
      </c>
      <c r="J184" s="23">
        <v>168</v>
      </c>
      <c r="K184" s="38"/>
    </row>
    <row r="185" spans="1:11" ht="15.75" customHeight="1">
      <c r="A185" s="28" t="s">
        <v>125</v>
      </c>
      <c r="B185" s="28" t="s">
        <v>116</v>
      </c>
      <c r="C185" s="28" t="s">
        <v>116</v>
      </c>
      <c r="D185" s="28" t="str">
        <f>VLOOKUP(Table1[[#This Row],[Point of Origin]],Table2[#All],2,0)</f>
        <v>South Korea</v>
      </c>
      <c r="E185" s="28" t="str">
        <f>VLOOKUP(Table1[[#This Row],[Point of Origin]],Table2[#All],3,0)</f>
        <v>International</v>
      </c>
      <c r="F185" s="28" t="s">
        <v>96</v>
      </c>
      <c r="G185" s="21" t="s">
        <v>97</v>
      </c>
      <c r="H185" s="22">
        <v>88</v>
      </c>
      <c r="I185" s="22">
        <f>Table1[[#This Row],[Total Weight Imported (lbs)]]*0.453592</f>
        <v>39.916095999999996</v>
      </c>
      <c r="J185" s="23">
        <v>132</v>
      </c>
      <c r="K185" s="37"/>
    </row>
    <row r="186" spans="1:11" ht="15.75" customHeight="1">
      <c r="A186" s="28" t="s">
        <v>125</v>
      </c>
      <c r="B186" s="28" t="s">
        <v>116</v>
      </c>
      <c r="C186" s="28" t="s">
        <v>116</v>
      </c>
      <c r="D186" s="28" t="str">
        <f>VLOOKUP(Table1[[#This Row],[Point of Origin]],Table2[#All],2,0)</f>
        <v>South Korea</v>
      </c>
      <c r="E186" s="28" t="str">
        <f>VLOOKUP(Table1[[#This Row],[Point of Origin]],Table2[#All],3,0)</f>
        <v>International</v>
      </c>
      <c r="F186" s="28" t="s">
        <v>128</v>
      </c>
      <c r="G186" s="21" t="s">
        <v>129</v>
      </c>
      <c r="H186" s="22">
        <v>282</v>
      </c>
      <c r="I186" s="22">
        <f>Table1[[#This Row],[Total Weight Imported (lbs)]]*0.453592</f>
        <v>127.912944</v>
      </c>
      <c r="J186" s="23">
        <v>704</v>
      </c>
      <c r="K186" s="38"/>
    </row>
    <row r="187" spans="1:11" ht="15.75" customHeight="1">
      <c r="A187" s="28" t="s">
        <v>125</v>
      </c>
      <c r="B187" s="28" t="s">
        <v>116</v>
      </c>
      <c r="C187" s="28" t="s">
        <v>116</v>
      </c>
      <c r="D187" s="28" t="str">
        <f>VLOOKUP(Table1[[#This Row],[Point of Origin]],Table2[#All],2,0)</f>
        <v>South Korea</v>
      </c>
      <c r="E187" s="28" t="str">
        <f>VLOOKUP(Table1[[#This Row],[Point of Origin]],Table2[#All],3,0)</f>
        <v>International</v>
      </c>
      <c r="F187" s="28" t="s">
        <v>58</v>
      </c>
      <c r="G187" s="21" t="s">
        <v>34</v>
      </c>
      <c r="H187" s="22">
        <v>661</v>
      </c>
      <c r="I187" s="22">
        <f>Table1[[#This Row],[Total Weight Imported (lbs)]]*0.453592</f>
        <v>299.82431200000002</v>
      </c>
      <c r="J187" s="23">
        <v>1120</v>
      </c>
      <c r="K187" s="38"/>
    </row>
    <row r="188" spans="1:11" ht="15.75" customHeight="1">
      <c r="A188" s="28" t="s">
        <v>125</v>
      </c>
      <c r="B188" s="28" t="s">
        <v>116</v>
      </c>
      <c r="C188" s="28" t="s">
        <v>116</v>
      </c>
      <c r="D188" s="28" t="str">
        <f>VLOOKUP(Table1[[#This Row],[Point of Origin]],Table2[#All],2,0)</f>
        <v>South Korea</v>
      </c>
      <c r="E188" s="28" t="str">
        <f>VLOOKUP(Table1[[#This Row],[Point of Origin]],Table2[#All],3,0)</f>
        <v>International</v>
      </c>
      <c r="F188" s="28" t="s">
        <v>124</v>
      </c>
      <c r="G188" s="21" t="s">
        <v>30</v>
      </c>
      <c r="H188" s="22">
        <v>66</v>
      </c>
      <c r="I188" s="22">
        <f>Table1[[#This Row],[Total Weight Imported (lbs)]]*0.453592</f>
        <v>29.937072000000001</v>
      </c>
      <c r="J188" s="23">
        <v>96</v>
      </c>
      <c r="K188" s="38"/>
    </row>
    <row r="189" spans="1:11" ht="15.75" customHeight="1">
      <c r="A189" s="28" t="s">
        <v>125</v>
      </c>
      <c r="B189" s="28" t="s">
        <v>116</v>
      </c>
      <c r="C189" s="28" t="s">
        <v>116</v>
      </c>
      <c r="D189" s="28" t="str">
        <f>VLOOKUP(Table1[[#This Row],[Point of Origin]],Table2[#All],2,0)</f>
        <v>South Korea</v>
      </c>
      <c r="E189" s="28" t="str">
        <f>VLOOKUP(Table1[[#This Row],[Point of Origin]],Table2[#All],3,0)</f>
        <v>International</v>
      </c>
      <c r="F189" s="28" t="s">
        <v>50</v>
      </c>
      <c r="G189" s="21" t="s">
        <v>51</v>
      </c>
      <c r="H189" s="22">
        <v>66</v>
      </c>
      <c r="I189" s="22">
        <f>Table1[[#This Row],[Total Weight Imported (lbs)]]*0.453592</f>
        <v>29.937072000000001</v>
      </c>
      <c r="J189" s="23">
        <v>320</v>
      </c>
      <c r="K189" s="38"/>
    </row>
    <row r="190" spans="1:11" ht="15.75" customHeight="1">
      <c r="A190" s="28" t="s">
        <v>125</v>
      </c>
      <c r="B190" s="28" t="s">
        <v>116</v>
      </c>
      <c r="C190" s="28" t="s">
        <v>116</v>
      </c>
      <c r="D190" s="28" t="str">
        <f>VLOOKUP(Table1[[#This Row],[Point of Origin]],Table2[#All],2,0)</f>
        <v>South Korea</v>
      </c>
      <c r="E190" s="28" t="str">
        <f>VLOOKUP(Table1[[#This Row],[Point of Origin]],Table2[#All],3,0)</f>
        <v>International</v>
      </c>
      <c r="F190" s="28" t="s">
        <v>130</v>
      </c>
      <c r="G190" s="21" t="s">
        <v>131</v>
      </c>
      <c r="H190" s="22">
        <v>3307</v>
      </c>
      <c r="I190" s="22">
        <f>Table1[[#This Row],[Total Weight Imported (lbs)]]*0.453592</f>
        <v>1500.028744</v>
      </c>
      <c r="J190" s="23">
        <v>6000</v>
      </c>
      <c r="K190" s="37"/>
    </row>
    <row r="191" spans="1:11" ht="15.75" customHeight="1">
      <c r="A191" s="28" t="s">
        <v>125</v>
      </c>
      <c r="B191" s="28" t="s">
        <v>116</v>
      </c>
      <c r="C191" s="28" t="s">
        <v>116</v>
      </c>
      <c r="D191" s="28" t="str">
        <f>VLOOKUP(Table1[[#This Row],[Point of Origin]],Table2[#All],2,0)</f>
        <v>South Korea</v>
      </c>
      <c r="E191" s="28" t="str">
        <f>VLOOKUP(Table1[[#This Row],[Point of Origin]],Table2[#All],3,0)</f>
        <v>International</v>
      </c>
      <c r="F191" s="28" t="s">
        <v>130</v>
      </c>
      <c r="G191" s="21" t="s">
        <v>131</v>
      </c>
      <c r="H191" s="22">
        <v>661</v>
      </c>
      <c r="I191" s="22">
        <f>Table1[[#This Row],[Total Weight Imported (lbs)]]*0.453592</f>
        <v>299.82431200000002</v>
      </c>
      <c r="J191" s="23">
        <v>2080</v>
      </c>
      <c r="K191" s="37"/>
    </row>
    <row r="192" spans="1:11" ht="15.75" customHeight="1">
      <c r="A192" s="28" t="s">
        <v>125</v>
      </c>
      <c r="B192" s="28" t="s">
        <v>116</v>
      </c>
      <c r="C192" s="28" t="s">
        <v>116</v>
      </c>
      <c r="D192" s="28" t="str">
        <f>VLOOKUP(Table1[[#This Row],[Point of Origin]],Table2[#All],2,0)</f>
        <v>South Korea</v>
      </c>
      <c r="E192" s="28" t="str">
        <f>VLOOKUP(Table1[[#This Row],[Point of Origin]],Table2[#All],3,0)</f>
        <v>International</v>
      </c>
      <c r="F192" s="28" t="s">
        <v>132</v>
      </c>
      <c r="G192" s="21" t="s">
        <v>133</v>
      </c>
      <c r="H192" s="22">
        <v>79</v>
      </c>
      <c r="I192" s="22">
        <f>Table1[[#This Row],[Total Weight Imported (lbs)]]*0.453592</f>
        <v>35.833767999999999</v>
      </c>
      <c r="J192" s="23">
        <v>100.8</v>
      </c>
      <c r="K192" s="37"/>
    </row>
    <row r="193" spans="1:11" ht="15.75" customHeight="1">
      <c r="A193" s="28" t="s">
        <v>125</v>
      </c>
      <c r="B193" s="28" t="s">
        <v>116</v>
      </c>
      <c r="C193" s="28" t="s">
        <v>116</v>
      </c>
      <c r="D193" s="28" t="str">
        <f>VLOOKUP(Table1[[#This Row],[Point of Origin]],Table2[#All],2,0)</f>
        <v>South Korea</v>
      </c>
      <c r="E193" s="28" t="str">
        <f>VLOOKUP(Table1[[#This Row],[Point of Origin]],Table2[#All],3,0)</f>
        <v>International</v>
      </c>
      <c r="F193" s="28" t="s">
        <v>132</v>
      </c>
      <c r="G193" s="21" t="s">
        <v>133</v>
      </c>
      <c r="H193" s="22">
        <v>79</v>
      </c>
      <c r="I193" s="22">
        <f>Table1[[#This Row],[Total Weight Imported (lbs)]]*0.453592</f>
        <v>35.833767999999999</v>
      </c>
      <c r="J193" s="23">
        <v>100.8</v>
      </c>
      <c r="K193" s="37"/>
    </row>
    <row r="194" spans="1:11" ht="15.75" customHeight="1">
      <c r="A194" s="28" t="s">
        <v>125</v>
      </c>
      <c r="B194" s="28" t="s">
        <v>116</v>
      </c>
      <c r="C194" s="28" t="s">
        <v>116</v>
      </c>
      <c r="D194" s="28" t="str">
        <f>VLOOKUP(Table1[[#This Row],[Point of Origin]],Table2[#All],2,0)</f>
        <v>South Korea</v>
      </c>
      <c r="E194" s="28" t="str">
        <f>VLOOKUP(Table1[[#This Row],[Point of Origin]],Table2[#All],3,0)</f>
        <v>International</v>
      </c>
      <c r="F194" s="28" t="s">
        <v>132</v>
      </c>
      <c r="G194" s="21" t="s">
        <v>133</v>
      </c>
      <c r="H194" s="22">
        <v>79</v>
      </c>
      <c r="I194" s="22">
        <f>Table1[[#This Row],[Total Weight Imported (lbs)]]*0.453592</f>
        <v>35.833767999999999</v>
      </c>
      <c r="J194" s="23">
        <v>96</v>
      </c>
      <c r="K194" s="37"/>
    </row>
    <row r="195" spans="1:11" ht="15.75" customHeight="1">
      <c r="A195" s="27" t="s">
        <v>134</v>
      </c>
      <c r="B195" s="27" t="s">
        <v>28</v>
      </c>
      <c r="C195" s="27" t="s">
        <v>14</v>
      </c>
      <c r="D195" s="20" t="str">
        <f>VLOOKUP(Table1[[#This Row],[Point of Origin]],Table2[#All],2,0)</f>
        <v>USA</v>
      </c>
      <c r="E195" s="20" t="str">
        <f>VLOOKUP(Table1[[#This Row],[Point of Origin]],Table2[#All],3,0)</f>
        <v>Domestic</v>
      </c>
      <c r="F195" s="27" t="s">
        <v>135</v>
      </c>
      <c r="G195" s="21" t="s">
        <v>136</v>
      </c>
      <c r="H195" s="22">
        <v>80</v>
      </c>
      <c r="I195" s="22">
        <f>Table1[[#This Row],[Total Weight Imported (lbs)]]*0.453592</f>
        <v>36.28736</v>
      </c>
      <c r="J195" s="23">
        <v>71.5</v>
      </c>
      <c r="K195" s="38"/>
    </row>
    <row r="196" spans="1:11" ht="15.75" customHeight="1">
      <c r="A196" s="27" t="s">
        <v>134</v>
      </c>
      <c r="B196" s="27" t="s">
        <v>28</v>
      </c>
      <c r="C196" s="27" t="s">
        <v>14</v>
      </c>
      <c r="D196" s="20" t="str">
        <f>VLOOKUP(Table1[[#This Row],[Point of Origin]],Table2[#All],2,0)</f>
        <v>USA</v>
      </c>
      <c r="E196" s="20" t="str">
        <f>VLOOKUP(Table1[[#This Row],[Point of Origin]],Table2[#All],3,0)</f>
        <v>Domestic</v>
      </c>
      <c r="F196" s="27" t="s">
        <v>137</v>
      </c>
      <c r="G196" s="21" t="s">
        <v>138</v>
      </c>
      <c r="H196" s="22">
        <v>40</v>
      </c>
      <c r="I196" s="22">
        <f>Table1[[#This Row],[Total Weight Imported (lbs)]]*0.453592</f>
        <v>18.14368</v>
      </c>
      <c r="J196" s="23">
        <v>36.75</v>
      </c>
      <c r="K196" s="37"/>
    </row>
    <row r="197" spans="1:11" ht="15.75" customHeight="1">
      <c r="A197" s="27" t="s">
        <v>134</v>
      </c>
      <c r="B197" s="27" t="s">
        <v>28</v>
      </c>
      <c r="C197" s="27" t="s">
        <v>14</v>
      </c>
      <c r="D197" s="20" t="str">
        <f>VLOOKUP(Table1[[#This Row],[Point of Origin]],Table2[#All],2,0)</f>
        <v>USA</v>
      </c>
      <c r="E197" s="20" t="str">
        <f>VLOOKUP(Table1[[#This Row],[Point of Origin]],Table2[#All],3,0)</f>
        <v>Domestic</v>
      </c>
      <c r="F197" s="20" t="s">
        <v>36</v>
      </c>
      <c r="G197" s="21" t="s">
        <v>57</v>
      </c>
      <c r="H197" s="22">
        <v>168</v>
      </c>
      <c r="I197" s="22">
        <f>Table1[[#This Row],[Total Weight Imported (lbs)]]*0.453592</f>
        <v>76.203456000000003</v>
      </c>
      <c r="J197" s="23">
        <v>639.79999999999995</v>
      </c>
      <c r="K197" s="38"/>
    </row>
    <row r="198" spans="1:11" ht="15.75" customHeight="1">
      <c r="A198" s="27" t="s">
        <v>134</v>
      </c>
      <c r="B198" s="27" t="s">
        <v>28</v>
      </c>
      <c r="C198" s="27" t="s">
        <v>14</v>
      </c>
      <c r="D198" s="20" t="str">
        <f>VLOOKUP(Table1[[#This Row],[Point of Origin]],Table2[#All],2,0)</f>
        <v>USA</v>
      </c>
      <c r="E198" s="20" t="str">
        <f>VLOOKUP(Table1[[#This Row],[Point of Origin]],Table2[#All],3,0)</f>
        <v>Domestic</v>
      </c>
      <c r="F198" s="20" t="s">
        <v>56</v>
      </c>
      <c r="G198" s="21" t="s">
        <v>57</v>
      </c>
      <c r="H198" s="22">
        <v>104</v>
      </c>
      <c r="I198" s="22">
        <f>Table1[[#This Row],[Total Weight Imported (lbs)]]*0.453592</f>
        <v>47.173568000000003</v>
      </c>
      <c r="J198" s="23">
        <v>41.9</v>
      </c>
      <c r="K198" s="38"/>
    </row>
    <row r="199" spans="1:11" ht="15.75" customHeight="1">
      <c r="A199" s="27" t="s">
        <v>134</v>
      </c>
      <c r="B199" s="27" t="s">
        <v>28</v>
      </c>
      <c r="C199" s="27" t="s">
        <v>14</v>
      </c>
      <c r="D199" s="20" t="str">
        <f>VLOOKUP(Table1[[#This Row],[Point of Origin]],Table2[#All],2,0)</f>
        <v>USA</v>
      </c>
      <c r="E199" s="20" t="str">
        <f>VLOOKUP(Table1[[#This Row],[Point of Origin]],Table2[#All],3,0)</f>
        <v>Domestic</v>
      </c>
      <c r="F199" s="20" t="s">
        <v>40</v>
      </c>
      <c r="G199" s="21" t="s">
        <v>41</v>
      </c>
      <c r="H199" s="22">
        <v>250</v>
      </c>
      <c r="I199" s="22">
        <f>Table1[[#This Row],[Total Weight Imported (lbs)]]*0.453592</f>
        <v>113.398</v>
      </c>
      <c r="J199" s="23">
        <v>137.94999999999999</v>
      </c>
      <c r="K199" s="38"/>
    </row>
    <row r="200" spans="1:11" ht="15.75" customHeight="1">
      <c r="A200" s="27" t="s">
        <v>134</v>
      </c>
      <c r="B200" s="27" t="s">
        <v>28</v>
      </c>
      <c r="C200" s="27" t="s">
        <v>14</v>
      </c>
      <c r="D200" s="20" t="str">
        <f>VLOOKUP(Table1[[#This Row],[Point of Origin]],Table2[#All],2,0)</f>
        <v>USA</v>
      </c>
      <c r="E200" s="20" t="str">
        <f>VLOOKUP(Table1[[#This Row],[Point of Origin]],Table2[#All],3,0)</f>
        <v>Domestic</v>
      </c>
      <c r="F200" s="27" t="s">
        <v>139</v>
      </c>
      <c r="G200" s="21" t="s">
        <v>140</v>
      </c>
      <c r="H200" s="22">
        <v>18</v>
      </c>
      <c r="I200" s="22">
        <f>Table1[[#This Row],[Total Weight Imported (lbs)]]*0.453592</f>
        <v>8.1646560000000008</v>
      </c>
      <c r="J200" s="23">
        <v>25.75</v>
      </c>
      <c r="K200" s="38"/>
    </row>
    <row r="201" spans="1:11" ht="15.75" customHeight="1">
      <c r="A201" s="27" t="s">
        <v>134</v>
      </c>
      <c r="B201" s="27" t="s">
        <v>28</v>
      </c>
      <c r="C201" s="27" t="s">
        <v>14</v>
      </c>
      <c r="D201" s="20" t="str">
        <f>VLOOKUP(Table1[[#This Row],[Point of Origin]],Table2[#All],2,0)</f>
        <v>USA</v>
      </c>
      <c r="E201" s="20" t="str">
        <f>VLOOKUP(Table1[[#This Row],[Point of Origin]],Table2[#All],3,0)</f>
        <v>Domestic</v>
      </c>
      <c r="F201" s="27" t="s">
        <v>141</v>
      </c>
      <c r="G201" s="21" t="s">
        <v>142</v>
      </c>
      <c r="H201" s="22">
        <v>50</v>
      </c>
      <c r="I201" s="22">
        <f>Table1[[#This Row],[Total Weight Imported (lbs)]]*0.453592</f>
        <v>22.679600000000001</v>
      </c>
      <c r="J201" s="23">
        <v>18.75</v>
      </c>
      <c r="K201" s="38"/>
    </row>
    <row r="202" spans="1:11" ht="15.75" customHeight="1">
      <c r="A202" s="27" t="s">
        <v>134</v>
      </c>
      <c r="B202" s="27" t="s">
        <v>28</v>
      </c>
      <c r="C202" s="27" t="s">
        <v>14</v>
      </c>
      <c r="D202" s="20" t="str">
        <f>VLOOKUP(Table1[[#This Row],[Point of Origin]],Table2[#All],2,0)</f>
        <v>USA</v>
      </c>
      <c r="E202" s="20" t="str">
        <f>VLOOKUP(Table1[[#This Row],[Point of Origin]],Table2[#All],3,0)</f>
        <v>Domestic</v>
      </c>
      <c r="F202" s="27" t="s">
        <v>137</v>
      </c>
      <c r="G202" s="21" t="s">
        <v>138</v>
      </c>
      <c r="H202" s="22">
        <v>570</v>
      </c>
      <c r="I202" s="22">
        <f>Table1[[#This Row],[Total Weight Imported (lbs)]]*0.453592</f>
        <v>258.54743999999999</v>
      </c>
      <c r="J202" s="23">
        <v>38.75</v>
      </c>
      <c r="K202" s="39"/>
    </row>
    <row r="203" spans="1:11" ht="15.75" customHeight="1">
      <c r="A203" s="27" t="s">
        <v>134</v>
      </c>
      <c r="B203" s="27" t="s">
        <v>28</v>
      </c>
      <c r="C203" s="27" t="s">
        <v>14</v>
      </c>
      <c r="D203" s="20" t="str">
        <f>VLOOKUP(Table1[[#This Row],[Point of Origin]],Table2[#All],2,0)</f>
        <v>USA</v>
      </c>
      <c r="E203" s="20" t="str">
        <f>VLOOKUP(Table1[[#This Row],[Point of Origin]],Table2[#All],3,0)</f>
        <v>Domestic</v>
      </c>
      <c r="F203" s="20" t="s">
        <v>38</v>
      </c>
      <c r="G203" s="21" t="s">
        <v>39</v>
      </c>
      <c r="H203" s="22">
        <v>84</v>
      </c>
      <c r="I203" s="22">
        <f>Table1[[#This Row],[Total Weight Imported (lbs)]]*0.453592</f>
        <v>38.101728000000001</v>
      </c>
      <c r="J203" s="23">
        <v>71.25</v>
      </c>
      <c r="K203" s="38"/>
    </row>
    <row r="204" spans="1:11" ht="15.75" customHeight="1">
      <c r="A204" s="27" t="s">
        <v>134</v>
      </c>
      <c r="B204" s="27" t="s">
        <v>28</v>
      </c>
      <c r="C204" s="27" t="s">
        <v>14</v>
      </c>
      <c r="D204" s="20" t="str">
        <f>VLOOKUP(Table1[[#This Row],[Point of Origin]],Table2[#All],2,0)</f>
        <v>USA</v>
      </c>
      <c r="E204" s="20" t="str">
        <f>VLOOKUP(Table1[[#This Row],[Point of Origin]],Table2[#All],3,0)</f>
        <v>Domestic</v>
      </c>
      <c r="F204" s="20" t="s">
        <v>59</v>
      </c>
      <c r="G204" s="21" t="s">
        <v>60</v>
      </c>
      <c r="H204" s="22">
        <v>480</v>
      </c>
      <c r="I204" s="22">
        <f>Table1[[#This Row],[Total Weight Imported (lbs)]]*0.453592</f>
        <v>217.72415999999998</v>
      </c>
      <c r="J204" s="23">
        <v>286.2</v>
      </c>
      <c r="K204" s="38"/>
    </row>
    <row r="205" spans="1:11" ht="15.75" customHeight="1">
      <c r="A205" s="27" t="s">
        <v>134</v>
      </c>
      <c r="B205" s="27" t="s">
        <v>28</v>
      </c>
      <c r="C205" s="27" t="s">
        <v>14</v>
      </c>
      <c r="D205" s="20" t="str">
        <f>VLOOKUP(Table1[[#This Row],[Point of Origin]],Table2[#All],2,0)</f>
        <v>USA</v>
      </c>
      <c r="E205" s="20" t="str">
        <f>VLOOKUP(Table1[[#This Row],[Point of Origin]],Table2[#All],3,0)</f>
        <v>Domestic</v>
      </c>
      <c r="F205" s="20" t="s">
        <v>63</v>
      </c>
      <c r="G205" s="21" t="s">
        <v>64</v>
      </c>
      <c r="H205" s="22">
        <v>44</v>
      </c>
      <c r="I205" s="22">
        <f>Table1[[#This Row],[Total Weight Imported (lbs)]]*0.453592</f>
        <v>19.958047999999998</v>
      </c>
      <c r="J205" s="23">
        <v>33.9</v>
      </c>
      <c r="K205" s="37"/>
    </row>
    <row r="206" spans="1:11" ht="15.75" customHeight="1">
      <c r="A206" s="27" t="s">
        <v>134</v>
      </c>
      <c r="B206" s="27" t="s">
        <v>28</v>
      </c>
      <c r="C206" s="27" t="s">
        <v>14</v>
      </c>
      <c r="D206" s="20" t="str">
        <f>VLOOKUP(Table1[[#This Row],[Point of Origin]],Table2[#All],2,0)</f>
        <v>USA</v>
      </c>
      <c r="E206" s="20" t="str">
        <f>VLOOKUP(Table1[[#This Row],[Point of Origin]],Table2[#All],3,0)</f>
        <v>Domestic</v>
      </c>
      <c r="F206" s="20" t="s">
        <v>40</v>
      </c>
      <c r="G206" s="21" t="s">
        <v>41</v>
      </c>
      <c r="H206" s="22">
        <v>20</v>
      </c>
      <c r="I206" s="22">
        <f>Table1[[#This Row],[Total Weight Imported (lbs)]]*0.453592</f>
        <v>9.0718399999999999</v>
      </c>
      <c r="J206" s="23">
        <v>24.85</v>
      </c>
      <c r="K206" s="38"/>
    </row>
    <row r="207" spans="1:11" ht="15.75" customHeight="1">
      <c r="A207" s="27" t="s">
        <v>134</v>
      </c>
      <c r="B207" s="27" t="s">
        <v>28</v>
      </c>
      <c r="C207" s="27" t="s">
        <v>14</v>
      </c>
      <c r="D207" s="20" t="str">
        <f>VLOOKUP(Table1[[#This Row],[Point of Origin]],Table2[#All],2,0)</f>
        <v>USA</v>
      </c>
      <c r="E207" s="20" t="str">
        <f>VLOOKUP(Table1[[#This Row],[Point of Origin]],Table2[#All],3,0)</f>
        <v>Domestic</v>
      </c>
      <c r="F207" s="20" t="s">
        <v>36</v>
      </c>
      <c r="G207" s="21" t="s">
        <v>57</v>
      </c>
      <c r="H207" s="22">
        <v>65</v>
      </c>
      <c r="I207" s="22">
        <f>Table1[[#This Row],[Total Weight Imported (lbs)]]*0.453592</f>
        <v>29.48348</v>
      </c>
      <c r="J207" s="23">
        <v>321.75</v>
      </c>
      <c r="K207" s="38"/>
    </row>
    <row r="208" spans="1:11" ht="15.75" customHeight="1">
      <c r="A208" s="27" t="s">
        <v>134</v>
      </c>
      <c r="B208" s="27" t="s">
        <v>28</v>
      </c>
      <c r="C208" s="27" t="s">
        <v>14</v>
      </c>
      <c r="D208" s="20" t="str">
        <f>VLOOKUP(Table1[[#This Row],[Point of Origin]],Table2[#All],2,0)</f>
        <v>USA</v>
      </c>
      <c r="E208" s="20" t="str">
        <f>VLOOKUP(Table1[[#This Row],[Point of Origin]],Table2[#All],3,0)</f>
        <v>Domestic</v>
      </c>
      <c r="F208" s="20" t="s">
        <v>82</v>
      </c>
      <c r="G208" s="21" t="s">
        <v>20</v>
      </c>
      <c r="H208" s="22">
        <v>1575</v>
      </c>
      <c r="I208" s="22">
        <f>Table1[[#This Row],[Total Weight Imported (lbs)]]*0.453592</f>
        <v>714.40739999999994</v>
      </c>
      <c r="J208" s="23">
        <v>1009.75</v>
      </c>
      <c r="K208" s="38"/>
    </row>
    <row r="209" spans="1:11" ht="15.75" customHeight="1">
      <c r="A209" s="27" t="s">
        <v>134</v>
      </c>
      <c r="B209" s="27" t="s">
        <v>28</v>
      </c>
      <c r="C209" s="27" t="s">
        <v>14</v>
      </c>
      <c r="D209" s="20" t="str">
        <f>VLOOKUP(Table1[[#This Row],[Point of Origin]],Table2[#All],2,0)</f>
        <v>USA</v>
      </c>
      <c r="E209" s="20" t="str">
        <f>VLOOKUP(Table1[[#This Row],[Point of Origin]],Table2[#All],3,0)</f>
        <v>Domestic</v>
      </c>
      <c r="F209" s="20" t="s">
        <v>82</v>
      </c>
      <c r="G209" s="21" t="s">
        <v>20</v>
      </c>
      <c r="H209" s="22">
        <v>90</v>
      </c>
      <c r="I209" s="22">
        <f>Table1[[#This Row],[Total Weight Imported (lbs)]]*0.453592</f>
        <v>40.823279999999997</v>
      </c>
      <c r="J209" s="23">
        <v>57.7</v>
      </c>
      <c r="K209" s="38"/>
    </row>
    <row r="210" spans="1:11" ht="15.75" customHeight="1">
      <c r="A210" s="27" t="s">
        <v>134</v>
      </c>
      <c r="B210" s="27" t="s">
        <v>28</v>
      </c>
      <c r="C210" s="27" t="s">
        <v>14</v>
      </c>
      <c r="D210" s="20" t="str">
        <f>VLOOKUP(Table1[[#This Row],[Point of Origin]],Table2[#All],2,0)</f>
        <v>USA</v>
      </c>
      <c r="E210" s="20" t="str">
        <f>VLOOKUP(Table1[[#This Row],[Point of Origin]],Table2[#All],3,0)</f>
        <v>Domestic</v>
      </c>
      <c r="F210" s="20" t="s">
        <v>59</v>
      </c>
      <c r="G210" s="21" t="s">
        <v>60</v>
      </c>
      <c r="H210" s="22">
        <v>54</v>
      </c>
      <c r="I210" s="22">
        <f>Table1[[#This Row],[Total Weight Imported (lbs)]]*0.453592</f>
        <v>24.493967999999999</v>
      </c>
      <c r="J210" s="23">
        <v>77.55</v>
      </c>
      <c r="K210" s="38"/>
    </row>
    <row r="211" spans="1:11" ht="15.75" customHeight="1">
      <c r="A211" s="27" t="s">
        <v>134</v>
      </c>
      <c r="B211" s="27" t="s">
        <v>28</v>
      </c>
      <c r="C211" s="27" t="s">
        <v>14</v>
      </c>
      <c r="D211" s="20" t="str">
        <f>VLOOKUP(Table1[[#This Row],[Point of Origin]],Table2[#All],2,0)</f>
        <v>USA</v>
      </c>
      <c r="E211" s="20" t="str">
        <f>VLOOKUP(Table1[[#This Row],[Point of Origin]],Table2[#All],3,0)</f>
        <v>Domestic</v>
      </c>
      <c r="F211" s="20" t="s">
        <v>54</v>
      </c>
      <c r="G211" s="21" t="s">
        <v>30</v>
      </c>
      <c r="H211" s="22">
        <v>40</v>
      </c>
      <c r="I211" s="22">
        <f>Table1[[#This Row],[Total Weight Imported (lbs)]]*0.453592</f>
        <v>18.14368</v>
      </c>
      <c r="J211" s="23">
        <v>32</v>
      </c>
      <c r="K211" s="38"/>
    </row>
    <row r="212" spans="1:11" ht="15.75" customHeight="1">
      <c r="A212" s="27" t="s">
        <v>134</v>
      </c>
      <c r="B212" s="27" t="s">
        <v>28</v>
      </c>
      <c r="C212" s="27" t="s">
        <v>14</v>
      </c>
      <c r="D212" s="20" t="str">
        <f>VLOOKUP(Table1[[#This Row],[Point of Origin]],Table2[#All],2,0)</f>
        <v>USA</v>
      </c>
      <c r="E212" s="20" t="str">
        <f>VLOOKUP(Table1[[#This Row],[Point of Origin]],Table2[#All],3,0)</f>
        <v>Domestic</v>
      </c>
      <c r="F212" s="20" t="s">
        <v>59</v>
      </c>
      <c r="G212" s="21" t="s">
        <v>60</v>
      </c>
      <c r="H212" s="22">
        <v>20</v>
      </c>
      <c r="I212" s="22">
        <f>Table1[[#This Row],[Total Weight Imported (lbs)]]*0.453592</f>
        <v>9.0718399999999999</v>
      </c>
      <c r="J212" s="23">
        <v>22.5</v>
      </c>
      <c r="K212" s="38"/>
    </row>
    <row r="213" spans="1:11" ht="15.75" customHeight="1">
      <c r="A213" s="27" t="s">
        <v>134</v>
      </c>
      <c r="B213" s="27" t="s">
        <v>28</v>
      </c>
      <c r="C213" s="27" t="s">
        <v>14</v>
      </c>
      <c r="D213" s="20" t="str">
        <f>VLOOKUP(Table1[[#This Row],[Point of Origin]],Table2[#All],2,0)</f>
        <v>USA</v>
      </c>
      <c r="E213" s="20" t="str">
        <f>VLOOKUP(Table1[[#This Row],[Point of Origin]],Table2[#All],3,0)</f>
        <v>Domestic</v>
      </c>
      <c r="F213" s="20" t="s">
        <v>81</v>
      </c>
      <c r="G213" s="21" t="s">
        <v>62</v>
      </c>
      <c r="H213" s="22">
        <v>15</v>
      </c>
      <c r="I213" s="22">
        <f>Table1[[#This Row],[Total Weight Imported (lbs)]]*0.453592</f>
        <v>6.8038799999999995</v>
      </c>
      <c r="J213" s="23">
        <v>32.950000000000003</v>
      </c>
      <c r="K213" s="38"/>
    </row>
    <row r="214" spans="1:11" ht="15.75" customHeight="1">
      <c r="A214" s="27" t="s">
        <v>134</v>
      </c>
      <c r="B214" s="27" t="s">
        <v>28</v>
      </c>
      <c r="C214" s="27" t="s">
        <v>14</v>
      </c>
      <c r="D214" s="20" t="str">
        <f>VLOOKUP(Table1[[#This Row],[Point of Origin]],Table2[#All],2,0)</f>
        <v>USA</v>
      </c>
      <c r="E214" s="20" t="str">
        <f>VLOOKUP(Table1[[#This Row],[Point of Origin]],Table2[#All],3,0)</f>
        <v>Domestic</v>
      </c>
      <c r="F214" s="20" t="s">
        <v>81</v>
      </c>
      <c r="G214" s="21" t="s">
        <v>62</v>
      </c>
      <c r="H214" s="22">
        <v>550</v>
      </c>
      <c r="I214" s="22">
        <f>Table1[[#This Row],[Total Weight Imported (lbs)]]*0.453592</f>
        <v>249.47559999999999</v>
      </c>
      <c r="J214" s="23">
        <v>519.5</v>
      </c>
      <c r="K214" s="38"/>
    </row>
    <row r="215" spans="1:11" ht="15.75" customHeight="1">
      <c r="A215" s="27" t="s">
        <v>134</v>
      </c>
      <c r="B215" s="27" t="s">
        <v>28</v>
      </c>
      <c r="C215" s="27" t="s">
        <v>14</v>
      </c>
      <c r="D215" s="20" t="str">
        <f>VLOOKUP(Table1[[#This Row],[Point of Origin]],Table2[#All],2,0)</f>
        <v>USA</v>
      </c>
      <c r="E215" s="20" t="str">
        <f>VLOOKUP(Table1[[#This Row],[Point of Origin]],Table2[#All],3,0)</f>
        <v>Domestic</v>
      </c>
      <c r="F215" s="20" t="s">
        <v>81</v>
      </c>
      <c r="G215" s="21" t="s">
        <v>62</v>
      </c>
      <c r="H215" s="22">
        <v>400</v>
      </c>
      <c r="I215" s="22">
        <f>Table1[[#This Row],[Total Weight Imported (lbs)]]*0.453592</f>
        <v>181.43680000000001</v>
      </c>
      <c r="J215" s="23">
        <v>470</v>
      </c>
      <c r="K215" s="38"/>
    </row>
    <row r="216" spans="1:11" ht="15.75" customHeight="1">
      <c r="A216" s="27" t="s">
        <v>134</v>
      </c>
      <c r="B216" s="27" t="s">
        <v>28</v>
      </c>
      <c r="C216" s="27" t="s">
        <v>14</v>
      </c>
      <c r="D216" s="20" t="str">
        <f>VLOOKUP(Table1[[#This Row],[Point of Origin]],Table2[#All],2,0)</f>
        <v>USA</v>
      </c>
      <c r="E216" s="20" t="str">
        <f>VLOOKUP(Table1[[#This Row],[Point of Origin]],Table2[#All],3,0)</f>
        <v>Domestic</v>
      </c>
      <c r="F216" s="20" t="s">
        <v>143</v>
      </c>
      <c r="G216" s="21" t="s">
        <v>144</v>
      </c>
      <c r="H216" s="22">
        <v>190</v>
      </c>
      <c r="I216" s="22">
        <f>Table1[[#This Row],[Total Weight Imported (lbs)]]*0.453592</f>
        <v>86.182479999999998</v>
      </c>
      <c r="J216" s="23">
        <v>183.75</v>
      </c>
      <c r="K216" s="38"/>
    </row>
    <row r="217" spans="1:11" ht="15.75" customHeight="1">
      <c r="A217" s="27" t="s">
        <v>134</v>
      </c>
      <c r="B217" s="27" t="s">
        <v>28</v>
      </c>
      <c r="C217" s="27" t="s">
        <v>14</v>
      </c>
      <c r="D217" s="20" t="str">
        <f>VLOOKUP(Table1[[#This Row],[Point of Origin]],Table2[#All],2,0)</f>
        <v>USA</v>
      </c>
      <c r="E217" s="20" t="str">
        <f>VLOOKUP(Table1[[#This Row],[Point of Origin]],Table2[#All],3,0)</f>
        <v>Domestic</v>
      </c>
      <c r="F217" s="20" t="s">
        <v>79</v>
      </c>
      <c r="G217" s="21" t="s">
        <v>80</v>
      </c>
      <c r="H217" s="22">
        <v>50</v>
      </c>
      <c r="I217" s="22">
        <f>Table1[[#This Row],[Total Weight Imported (lbs)]]*0.453592</f>
        <v>22.679600000000001</v>
      </c>
      <c r="J217" s="23">
        <v>45.9</v>
      </c>
      <c r="K217" s="37"/>
    </row>
    <row r="218" spans="1:11" ht="15.75" customHeight="1">
      <c r="A218" s="27" t="s">
        <v>134</v>
      </c>
      <c r="B218" s="27" t="s">
        <v>28</v>
      </c>
      <c r="C218" s="27" t="s">
        <v>14</v>
      </c>
      <c r="D218" s="20" t="str">
        <f>VLOOKUP(Table1[[#This Row],[Point of Origin]],Table2[#All],2,0)</f>
        <v>USA</v>
      </c>
      <c r="E218" s="20" t="str">
        <f>VLOOKUP(Table1[[#This Row],[Point of Origin]],Table2[#All],3,0)</f>
        <v>Domestic</v>
      </c>
      <c r="F218" s="20" t="s">
        <v>76</v>
      </c>
      <c r="G218" s="21" t="s">
        <v>77</v>
      </c>
      <c r="H218" s="22">
        <v>200</v>
      </c>
      <c r="I218" s="22">
        <f>Table1[[#This Row],[Total Weight Imported (lbs)]]*0.453592</f>
        <v>90.718400000000003</v>
      </c>
      <c r="J218" s="23">
        <v>63</v>
      </c>
      <c r="K218" s="37"/>
    </row>
    <row r="219" spans="1:11" ht="15.75" customHeight="1">
      <c r="A219" s="27" t="s">
        <v>134</v>
      </c>
      <c r="B219" s="27" t="s">
        <v>28</v>
      </c>
      <c r="C219" s="27" t="s">
        <v>14</v>
      </c>
      <c r="D219" s="20" t="str">
        <f>VLOOKUP(Table1[[#This Row],[Point of Origin]],Table2[#All],2,0)</f>
        <v>USA</v>
      </c>
      <c r="E219" s="20" t="str">
        <f>VLOOKUP(Table1[[#This Row],[Point of Origin]],Table2[#All],3,0)</f>
        <v>Domestic</v>
      </c>
      <c r="F219" s="20" t="s">
        <v>81</v>
      </c>
      <c r="G219" s="21" t="s">
        <v>62</v>
      </c>
      <c r="H219" s="22">
        <v>10</v>
      </c>
      <c r="I219" s="22">
        <f>Table1[[#This Row],[Total Weight Imported (lbs)]]*0.453592</f>
        <v>4.53592</v>
      </c>
      <c r="J219" s="23">
        <v>35</v>
      </c>
      <c r="K219" s="38"/>
    </row>
    <row r="220" spans="1:11" ht="15.75" customHeight="1">
      <c r="A220" s="27" t="s">
        <v>134</v>
      </c>
      <c r="B220" s="27" t="s">
        <v>28</v>
      </c>
      <c r="C220" s="27" t="s">
        <v>14</v>
      </c>
      <c r="D220" s="20" t="str">
        <f>VLOOKUP(Table1[[#This Row],[Point of Origin]],Table2[#All],2,0)</f>
        <v>USA</v>
      </c>
      <c r="E220" s="20" t="str">
        <f>VLOOKUP(Table1[[#This Row],[Point of Origin]],Table2[#All],3,0)</f>
        <v>Domestic</v>
      </c>
      <c r="F220" s="20" t="s">
        <v>81</v>
      </c>
      <c r="G220" s="21" t="s">
        <v>62</v>
      </c>
      <c r="H220" s="22">
        <v>80</v>
      </c>
      <c r="I220" s="22">
        <f>Table1[[#This Row],[Total Weight Imported (lbs)]]*0.453592</f>
        <v>36.28736</v>
      </c>
      <c r="J220" s="23">
        <v>84</v>
      </c>
      <c r="K220" s="38"/>
    </row>
    <row r="221" spans="1:11" ht="15.75" customHeight="1">
      <c r="A221" s="27" t="s">
        <v>134</v>
      </c>
      <c r="B221" s="27" t="s">
        <v>28</v>
      </c>
      <c r="C221" s="27" t="s">
        <v>14</v>
      </c>
      <c r="D221" s="20" t="str">
        <f>VLOOKUP(Table1[[#This Row],[Point of Origin]],Table2[#All],2,0)</f>
        <v>USA</v>
      </c>
      <c r="E221" s="20" t="str">
        <f>VLOOKUP(Table1[[#This Row],[Point of Origin]],Table2[#All],3,0)</f>
        <v>Domestic</v>
      </c>
      <c r="F221" s="20" t="s">
        <v>43</v>
      </c>
      <c r="G221" s="21" t="s">
        <v>44</v>
      </c>
      <c r="H221" s="22">
        <v>80</v>
      </c>
      <c r="I221" s="22">
        <f>Table1[[#This Row],[Total Weight Imported (lbs)]]*0.453592</f>
        <v>36.28736</v>
      </c>
      <c r="J221" s="23">
        <v>91.5</v>
      </c>
      <c r="K221" s="38"/>
    </row>
    <row r="222" spans="1:11" ht="15.75" customHeight="1">
      <c r="A222" s="27" t="s">
        <v>134</v>
      </c>
      <c r="B222" s="27" t="s">
        <v>28</v>
      </c>
      <c r="C222" s="27" t="s">
        <v>14</v>
      </c>
      <c r="D222" s="20" t="str">
        <f>VLOOKUP(Table1[[#This Row],[Point of Origin]],Table2[#All],2,0)</f>
        <v>USA</v>
      </c>
      <c r="E222" s="20" t="str">
        <f>VLOOKUP(Table1[[#This Row],[Point of Origin]],Table2[#All],3,0)</f>
        <v>Domestic</v>
      </c>
      <c r="F222" s="20" t="s">
        <v>81</v>
      </c>
      <c r="G222" s="21" t="s">
        <v>62</v>
      </c>
      <c r="H222" s="22">
        <v>60</v>
      </c>
      <c r="I222" s="22">
        <f>Table1[[#This Row],[Total Weight Imported (lbs)]]*0.453592</f>
        <v>27.215519999999998</v>
      </c>
      <c r="J222" s="23">
        <v>94.5</v>
      </c>
      <c r="K222" s="37"/>
    </row>
    <row r="223" spans="1:11" ht="15.75" customHeight="1">
      <c r="A223" s="27" t="s">
        <v>134</v>
      </c>
      <c r="B223" s="27" t="s">
        <v>28</v>
      </c>
      <c r="C223" s="27" t="s">
        <v>14</v>
      </c>
      <c r="D223" s="20" t="str">
        <f>VLOOKUP(Table1[[#This Row],[Point of Origin]],Table2[#All],2,0)</f>
        <v>USA</v>
      </c>
      <c r="E223" s="20" t="str">
        <f>VLOOKUP(Table1[[#This Row],[Point of Origin]],Table2[#All],3,0)</f>
        <v>Domestic</v>
      </c>
      <c r="F223" s="20" t="s">
        <v>81</v>
      </c>
      <c r="G223" s="21" t="s">
        <v>62</v>
      </c>
      <c r="H223" s="22">
        <v>15</v>
      </c>
      <c r="I223" s="22">
        <f>Table1[[#This Row],[Total Weight Imported (lbs)]]*0.453592</f>
        <v>6.8038799999999995</v>
      </c>
      <c r="J223" s="23">
        <v>36</v>
      </c>
      <c r="K223" s="37"/>
    </row>
    <row r="224" spans="1:11" ht="15.75" customHeight="1">
      <c r="A224" s="27" t="s">
        <v>134</v>
      </c>
      <c r="B224" s="27" t="s">
        <v>28</v>
      </c>
      <c r="C224" s="27" t="s">
        <v>14</v>
      </c>
      <c r="D224" s="20" t="str">
        <f>VLOOKUP(Table1[[#This Row],[Point of Origin]],Table2[#All],2,0)</f>
        <v>USA</v>
      </c>
      <c r="E224" s="20" t="str">
        <f>VLOOKUP(Table1[[#This Row],[Point of Origin]],Table2[#All],3,0)</f>
        <v>Domestic</v>
      </c>
      <c r="F224" s="20" t="s">
        <v>47</v>
      </c>
      <c r="G224" s="21" t="s">
        <v>32</v>
      </c>
      <c r="H224" s="22">
        <v>36</v>
      </c>
      <c r="I224" s="22">
        <f>Table1[[#This Row],[Total Weight Imported (lbs)]]*0.453592</f>
        <v>16.329312000000002</v>
      </c>
      <c r="J224" s="23">
        <v>188.55</v>
      </c>
      <c r="K224" s="38"/>
    </row>
    <row r="225" spans="1:11" ht="15.75" customHeight="1">
      <c r="A225" s="27" t="s">
        <v>134</v>
      </c>
      <c r="B225" s="27" t="s">
        <v>28</v>
      </c>
      <c r="C225" s="27" t="s">
        <v>14</v>
      </c>
      <c r="D225" s="20" t="str">
        <f>VLOOKUP(Table1[[#This Row],[Point of Origin]],Table2[#All],2,0)</f>
        <v>USA</v>
      </c>
      <c r="E225" s="20" t="str">
        <f>VLOOKUP(Table1[[#This Row],[Point of Origin]],Table2[#All],3,0)</f>
        <v>Domestic</v>
      </c>
      <c r="F225" s="20" t="s">
        <v>59</v>
      </c>
      <c r="G225" s="21" t="s">
        <v>60</v>
      </c>
      <c r="H225" s="22">
        <v>1000</v>
      </c>
      <c r="I225" s="22">
        <f>Table1[[#This Row],[Total Weight Imported (lbs)]]*0.453592</f>
        <v>453.59199999999998</v>
      </c>
      <c r="J225" s="23">
        <v>546.25</v>
      </c>
      <c r="K225" s="38"/>
    </row>
    <row r="226" spans="1:11" ht="15.75" customHeight="1">
      <c r="A226" s="27" t="s">
        <v>134</v>
      </c>
      <c r="B226" s="27" t="s">
        <v>28</v>
      </c>
      <c r="C226" s="27" t="s">
        <v>14</v>
      </c>
      <c r="D226" s="20" t="str">
        <f>VLOOKUP(Table1[[#This Row],[Point of Origin]],Table2[#All],2,0)</f>
        <v>USA</v>
      </c>
      <c r="E226" s="20" t="str">
        <f>VLOOKUP(Table1[[#This Row],[Point of Origin]],Table2[#All],3,0)</f>
        <v>Domestic</v>
      </c>
      <c r="F226" s="20" t="s">
        <v>81</v>
      </c>
      <c r="G226" s="21" t="s">
        <v>62</v>
      </c>
      <c r="H226" s="22">
        <v>5</v>
      </c>
      <c r="I226" s="22">
        <f>Table1[[#This Row],[Total Weight Imported (lbs)]]*0.453592</f>
        <v>2.26796</v>
      </c>
      <c r="J226" s="23">
        <v>10.5</v>
      </c>
      <c r="K226" s="38"/>
    </row>
    <row r="227" spans="1:11" ht="15.75" customHeight="1">
      <c r="A227" s="27" t="s">
        <v>134</v>
      </c>
      <c r="B227" s="27" t="s">
        <v>28</v>
      </c>
      <c r="C227" s="27" t="s">
        <v>14</v>
      </c>
      <c r="D227" s="20" t="str">
        <f>VLOOKUP(Table1[[#This Row],[Point of Origin]],Table2[#All],2,0)</f>
        <v>USA</v>
      </c>
      <c r="E227" s="20" t="str">
        <f>VLOOKUP(Table1[[#This Row],[Point of Origin]],Table2[#All],3,0)</f>
        <v>Domestic</v>
      </c>
      <c r="F227" s="20" t="s">
        <v>59</v>
      </c>
      <c r="G227" s="21" t="s">
        <v>60</v>
      </c>
      <c r="H227" s="22">
        <v>40</v>
      </c>
      <c r="I227" s="22">
        <f>Table1[[#This Row],[Total Weight Imported (lbs)]]*0.453592</f>
        <v>18.14368</v>
      </c>
      <c r="J227" s="23">
        <v>19.850000000000001</v>
      </c>
      <c r="K227" s="38"/>
    </row>
    <row r="228" spans="1:11" ht="15.75" customHeight="1">
      <c r="A228" s="27" t="s">
        <v>134</v>
      </c>
      <c r="B228" s="27" t="s">
        <v>28</v>
      </c>
      <c r="C228" s="27" t="s">
        <v>14</v>
      </c>
      <c r="D228" s="20" t="str">
        <f>VLOOKUP(Table1[[#This Row],[Point of Origin]],Table2[#All],2,0)</f>
        <v>USA</v>
      </c>
      <c r="E228" s="20" t="str">
        <f>VLOOKUP(Table1[[#This Row],[Point of Origin]],Table2[#All],3,0)</f>
        <v>Domestic</v>
      </c>
      <c r="F228" s="20" t="s">
        <v>59</v>
      </c>
      <c r="G228" s="21" t="s">
        <v>60</v>
      </c>
      <c r="H228" s="22">
        <v>950</v>
      </c>
      <c r="I228" s="22">
        <f>Table1[[#This Row],[Total Weight Imported (lbs)]]*0.453592</f>
        <v>430.91239999999999</v>
      </c>
      <c r="J228" s="23">
        <v>621.25</v>
      </c>
      <c r="K228" s="38"/>
    </row>
    <row r="229" spans="1:11" ht="15.75" customHeight="1">
      <c r="A229" s="27" t="s">
        <v>134</v>
      </c>
      <c r="B229" s="27" t="s">
        <v>28</v>
      </c>
      <c r="C229" s="27" t="s">
        <v>14</v>
      </c>
      <c r="D229" s="20" t="str">
        <f>VLOOKUP(Table1[[#This Row],[Point of Origin]],Table2[#All],2,0)</f>
        <v>USA</v>
      </c>
      <c r="E229" s="20" t="str">
        <f>VLOOKUP(Table1[[#This Row],[Point of Origin]],Table2[#All],3,0)</f>
        <v>Domestic</v>
      </c>
      <c r="F229" s="27" t="s">
        <v>141</v>
      </c>
      <c r="G229" s="21" t="s">
        <v>142</v>
      </c>
      <c r="H229" s="22">
        <v>800</v>
      </c>
      <c r="I229" s="22">
        <f>Table1[[#This Row],[Total Weight Imported (lbs)]]*0.453592</f>
        <v>362.87360000000001</v>
      </c>
      <c r="J229" s="23">
        <v>332</v>
      </c>
      <c r="K229" s="38"/>
    </row>
    <row r="230" spans="1:11" ht="15.75" customHeight="1">
      <c r="A230" s="27" t="s">
        <v>134</v>
      </c>
      <c r="B230" s="27" t="s">
        <v>28</v>
      </c>
      <c r="C230" s="27" t="s">
        <v>14</v>
      </c>
      <c r="D230" s="20" t="str">
        <f>VLOOKUP(Table1[[#This Row],[Point of Origin]],Table2[#All],2,0)</f>
        <v>USA</v>
      </c>
      <c r="E230" s="20" t="str">
        <f>VLOOKUP(Table1[[#This Row],[Point of Origin]],Table2[#All],3,0)</f>
        <v>Domestic</v>
      </c>
      <c r="F230" s="27" t="s">
        <v>50</v>
      </c>
      <c r="G230" s="21" t="s">
        <v>51</v>
      </c>
      <c r="H230" s="22">
        <v>25</v>
      </c>
      <c r="I230" s="22">
        <f>Table1[[#This Row],[Total Weight Imported (lbs)]]*0.453592</f>
        <v>11.3398</v>
      </c>
      <c r="J230" s="23">
        <v>30.95</v>
      </c>
      <c r="K230" s="38"/>
    </row>
    <row r="231" spans="1:11" ht="15.75" customHeight="1">
      <c r="A231" s="27" t="s">
        <v>134</v>
      </c>
      <c r="B231" s="27" t="s">
        <v>28</v>
      </c>
      <c r="C231" s="27" t="s">
        <v>14</v>
      </c>
      <c r="D231" s="20" t="str">
        <f>VLOOKUP(Table1[[#This Row],[Point of Origin]],Table2[#All],2,0)</f>
        <v>USA</v>
      </c>
      <c r="E231" s="20" t="str">
        <f>VLOOKUP(Table1[[#This Row],[Point of Origin]],Table2[#All],3,0)</f>
        <v>Domestic</v>
      </c>
      <c r="F231" s="27" t="s">
        <v>58</v>
      </c>
      <c r="G231" s="21" t="s">
        <v>34</v>
      </c>
      <c r="H231" s="22">
        <v>10</v>
      </c>
      <c r="I231" s="22">
        <f>Table1[[#This Row],[Total Weight Imported (lbs)]]*0.453592</f>
        <v>4.53592</v>
      </c>
      <c r="J231" s="23">
        <v>24.75</v>
      </c>
      <c r="K231" s="38"/>
    </row>
    <row r="232" spans="1:11" ht="15.75" customHeight="1">
      <c r="A232" s="27" t="s">
        <v>134</v>
      </c>
      <c r="B232" s="27" t="s">
        <v>28</v>
      </c>
      <c r="C232" s="27" t="s">
        <v>14</v>
      </c>
      <c r="D232" s="20" t="str">
        <f>VLOOKUP(Table1[[#This Row],[Point of Origin]],Table2[#All],2,0)</f>
        <v>USA</v>
      </c>
      <c r="E232" s="20" t="str">
        <f>VLOOKUP(Table1[[#This Row],[Point of Origin]],Table2[#All],3,0)</f>
        <v>Domestic</v>
      </c>
      <c r="F232" s="27" t="s">
        <v>50</v>
      </c>
      <c r="G232" s="21" t="s">
        <v>51</v>
      </c>
      <c r="H232" s="22">
        <v>127.5</v>
      </c>
      <c r="I232" s="22">
        <f>Table1[[#This Row],[Total Weight Imported (lbs)]]*0.453592</f>
        <v>57.832979999999999</v>
      </c>
      <c r="J232" s="23">
        <v>390.15</v>
      </c>
      <c r="K232" s="38"/>
    </row>
    <row r="233" spans="1:11" ht="15.75" customHeight="1">
      <c r="A233" s="27" t="s">
        <v>134</v>
      </c>
      <c r="B233" s="27" t="s">
        <v>28</v>
      </c>
      <c r="C233" s="27" t="s">
        <v>14</v>
      </c>
      <c r="D233" s="20" t="str">
        <f>VLOOKUP(Table1[[#This Row],[Point of Origin]],Table2[#All],2,0)</f>
        <v>USA</v>
      </c>
      <c r="E233" s="20" t="str">
        <f>VLOOKUP(Table1[[#This Row],[Point of Origin]],Table2[#All],3,0)</f>
        <v>Domestic</v>
      </c>
      <c r="F233" s="27" t="s">
        <v>121</v>
      </c>
      <c r="G233" s="21" t="s">
        <v>122</v>
      </c>
      <c r="H233" s="22">
        <v>160</v>
      </c>
      <c r="I233" s="22">
        <f>Table1[[#This Row],[Total Weight Imported (lbs)]]*0.453592</f>
        <v>72.574719999999999</v>
      </c>
      <c r="J233" s="23">
        <v>183</v>
      </c>
      <c r="K233" s="37"/>
    </row>
    <row r="234" spans="1:11" ht="15.75" customHeight="1">
      <c r="A234" s="27" t="s">
        <v>134</v>
      </c>
      <c r="B234" s="27" t="s">
        <v>28</v>
      </c>
      <c r="C234" s="27" t="s">
        <v>14</v>
      </c>
      <c r="D234" s="20" t="str">
        <f>VLOOKUP(Table1[[#This Row],[Point of Origin]],Table2[#All],2,0)</f>
        <v>USA</v>
      </c>
      <c r="E234" s="20" t="str">
        <f>VLOOKUP(Table1[[#This Row],[Point of Origin]],Table2[#All],3,0)</f>
        <v>Domestic</v>
      </c>
      <c r="F234" s="27" t="s">
        <v>121</v>
      </c>
      <c r="G234" s="21" t="s">
        <v>122</v>
      </c>
      <c r="H234" s="22">
        <v>160</v>
      </c>
      <c r="I234" s="22">
        <f>Table1[[#This Row],[Total Weight Imported (lbs)]]*0.453592</f>
        <v>72.574719999999999</v>
      </c>
      <c r="J234" s="23">
        <v>147</v>
      </c>
      <c r="K234" s="37"/>
    </row>
    <row r="235" spans="1:11" ht="15.75" customHeight="1">
      <c r="A235" s="27" t="s">
        <v>134</v>
      </c>
      <c r="B235" s="27" t="s">
        <v>28</v>
      </c>
      <c r="C235" s="27" t="s">
        <v>14</v>
      </c>
      <c r="D235" s="20" t="str">
        <f>VLOOKUP(Table1[[#This Row],[Point of Origin]],Table2[#All],2,0)</f>
        <v>USA</v>
      </c>
      <c r="E235" s="20" t="str">
        <f>VLOOKUP(Table1[[#This Row],[Point of Origin]],Table2[#All],3,0)</f>
        <v>Domestic</v>
      </c>
      <c r="F235" s="27" t="s">
        <v>137</v>
      </c>
      <c r="G235" s="21" t="s">
        <v>138</v>
      </c>
      <c r="H235" s="22">
        <v>190</v>
      </c>
      <c r="I235" s="22">
        <f>Table1[[#This Row],[Total Weight Imported (lbs)]]*0.453592</f>
        <v>86.182479999999998</v>
      </c>
      <c r="J235" s="23">
        <v>193.75</v>
      </c>
      <c r="K235" s="37"/>
    </row>
    <row r="236" spans="1:11" ht="15.75" customHeight="1">
      <c r="A236" s="27" t="s">
        <v>134</v>
      </c>
      <c r="B236" s="27" t="s">
        <v>28</v>
      </c>
      <c r="C236" s="27" t="s">
        <v>14</v>
      </c>
      <c r="D236" s="20" t="str">
        <f>VLOOKUP(Table1[[#This Row],[Point of Origin]],Table2[#All],2,0)</f>
        <v>USA</v>
      </c>
      <c r="E236" s="20" t="str">
        <f>VLOOKUP(Table1[[#This Row],[Point of Origin]],Table2[#All],3,0)</f>
        <v>Domestic</v>
      </c>
      <c r="F236" s="27" t="s">
        <v>59</v>
      </c>
      <c r="G236" s="21" t="s">
        <v>60</v>
      </c>
      <c r="H236" s="22">
        <v>3200</v>
      </c>
      <c r="I236" s="22">
        <f>Table1[[#This Row],[Total Weight Imported (lbs)]]*0.453592</f>
        <v>1451.4944</v>
      </c>
      <c r="J236" s="23">
        <v>1908</v>
      </c>
      <c r="K236" s="38"/>
    </row>
    <row r="237" spans="1:11" ht="15.75" customHeight="1">
      <c r="A237" s="27" t="s">
        <v>134</v>
      </c>
      <c r="B237" s="27" t="s">
        <v>28</v>
      </c>
      <c r="C237" s="27" t="s">
        <v>14</v>
      </c>
      <c r="D237" s="20" t="str">
        <f>VLOOKUP(Table1[[#This Row],[Point of Origin]],Table2[#All],2,0)</f>
        <v>USA</v>
      </c>
      <c r="E237" s="20" t="str">
        <f>VLOOKUP(Table1[[#This Row],[Point of Origin]],Table2[#All],3,0)</f>
        <v>Domestic</v>
      </c>
      <c r="F237" s="27" t="s">
        <v>82</v>
      </c>
      <c r="G237" s="21" t="s">
        <v>20</v>
      </c>
      <c r="H237" s="22">
        <v>180</v>
      </c>
      <c r="I237" s="22">
        <f>Table1[[#This Row],[Total Weight Imported (lbs)]]*0.453592</f>
        <v>81.646559999999994</v>
      </c>
      <c r="J237" s="23">
        <v>115.4</v>
      </c>
      <c r="K237" s="38"/>
    </row>
    <row r="238" spans="1:11" ht="15.75" customHeight="1">
      <c r="A238" s="27" t="s">
        <v>134</v>
      </c>
      <c r="B238" s="27" t="s">
        <v>28</v>
      </c>
      <c r="C238" s="27" t="s">
        <v>14</v>
      </c>
      <c r="D238" s="20" t="str">
        <f>VLOOKUP(Table1[[#This Row],[Point of Origin]],Table2[#All],2,0)</f>
        <v>USA</v>
      </c>
      <c r="E238" s="20" t="str">
        <f>VLOOKUP(Table1[[#This Row],[Point of Origin]],Table2[#All],3,0)</f>
        <v>Domestic</v>
      </c>
      <c r="F238" s="20" t="s">
        <v>81</v>
      </c>
      <c r="G238" s="21" t="s">
        <v>62</v>
      </c>
      <c r="H238" s="22">
        <v>350</v>
      </c>
      <c r="I238" s="22">
        <f>Table1[[#This Row],[Total Weight Imported (lbs)]]*0.453592</f>
        <v>158.75720000000001</v>
      </c>
      <c r="J238" s="23">
        <v>349.3</v>
      </c>
      <c r="K238" s="38"/>
    </row>
    <row r="239" spans="1:11" ht="15.75" customHeight="1">
      <c r="A239" s="27" t="s">
        <v>134</v>
      </c>
      <c r="B239" s="27" t="s">
        <v>28</v>
      </c>
      <c r="C239" s="27" t="s">
        <v>14</v>
      </c>
      <c r="D239" s="20" t="str">
        <f>VLOOKUP(Table1[[#This Row],[Point of Origin]],Table2[#All],2,0)</f>
        <v>USA</v>
      </c>
      <c r="E239" s="20" t="str">
        <f>VLOOKUP(Table1[[#This Row],[Point of Origin]],Table2[#All],3,0)</f>
        <v>Domestic</v>
      </c>
      <c r="F239" s="27" t="s">
        <v>56</v>
      </c>
      <c r="G239" s="21" t="s">
        <v>57</v>
      </c>
      <c r="H239" s="22">
        <v>400</v>
      </c>
      <c r="I239" s="22">
        <f>Table1[[#This Row],[Total Weight Imported (lbs)]]*0.453592</f>
        <v>181.43680000000001</v>
      </c>
      <c r="J239" s="23">
        <v>198</v>
      </c>
      <c r="K239" s="38"/>
    </row>
    <row r="240" spans="1:11" ht="15.75" customHeight="1">
      <c r="A240" s="27" t="s">
        <v>134</v>
      </c>
      <c r="B240" s="27" t="s">
        <v>28</v>
      </c>
      <c r="C240" s="27" t="s">
        <v>14</v>
      </c>
      <c r="D240" s="20" t="str">
        <f>VLOOKUP(Table1[[#This Row],[Point of Origin]],Table2[#All],2,0)</f>
        <v>USA</v>
      </c>
      <c r="E240" s="20" t="str">
        <f>VLOOKUP(Table1[[#This Row],[Point of Origin]],Table2[#All],3,0)</f>
        <v>Domestic</v>
      </c>
      <c r="F240" s="27" t="s">
        <v>59</v>
      </c>
      <c r="G240" s="21" t="s">
        <v>60</v>
      </c>
      <c r="H240" s="22">
        <v>3800</v>
      </c>
      <c r="I240" s="22">
        <f>Table1[[#This Row],[Total Weight Imported (lbs)]]*0.453592</f>
        <v>1723.6496</v>
      </c>
      <c r="J240" s="23">
        <v>2485</v>
      </c>
      <c r="K240" s="38"/>
    </row>
    <row r="241" spans="1:11" ht="15.75" customHeight="1">
      <c r="A241" s="27" t="s">
        <v>134</v>
      </c>
      <c r="B241" s="27" t="s">
        <v>28</v>
      </c>
      <c r="C241" s="27" t="s">
        <v>14</v>
      </c>
      <c r="D241" s="20" t="str">
        <f>VLOOKUP(Table1[[#This Row],[Point of Origin]],Table2[#All],2,0)</f>
        <v>USA</v>
      </c>
      <c r="E241" s="20" t="str">
        <f>VLOOKUP(Table1[[#This Row],[Point of Origin]],Table2[#All],3,0)</f>
        <v>Domestic</v>
      </c>
      <c r="F241" s="27" t="s">
        <v>141</v>
      </c>
      <c r="G241" s="21" t="s">
        <v>145</v>
      </c>
      <c r="H241" s="22">
        <v>950</v>
      </c>
      <c r="I241" s="22">
        <f>Table1[[#This Row],[Total Weight Imported (lbs)]]*0.453592</f>
        <v>430.91239999999999</v>
      </c>
      <c r="J241" s="23">
        <v>394.25</v>
      </c>
      <c r="K241" s="38"/>
    </row>
    <row r="242" spans="1:11" ht="15.75" customHeight="1">
      <c r="A242" s="27" t="s">
        <v>134</v>
      </c>
      <c r="B242" s="27" t="s">
        <v>28</v>
      </c>
      <c r="C242" s="27" t="s">
        <v>14</v>
      </c>
      <c r="D242" s="20" t="str">
        <f>VLOOKUP(Table1[[#This Row],[Point of Origin]],Table2[#All],2,0)</f>
        <v>USA</v>
      </c>
      <c r="E242" s="20" t="str">
        <f>VLOOKUP(Table1[[#This Row],[Point of Origin]],Table2[#All],3,0)</f>
        <v>Domestic</v>
      </c>
      <c r="F242" s="20" t="s">
        <v>81</v>
      </c>
      <c r="G242" s="21" t="s">
        <v>62</v>
      </c>
      <c r="H242" s="22">
        <v>88</v>
      </c>
      <c r="I242" s="22">
        <f>Table1[[#This Row],[Total Weight Imported (lbs)]]*0.453592</f>
        <v>39.916095999999996</v>
      </c>
      <c r="J242" s="23">
        <v>121.6</v>
      </c>
      <c r="K242" s="38"/>
    </row>
    <row r="243" spans="1:11" ht="15.75" customHeight="1">
      <c r="A243" s="27" t="s">
        <v>134</v>
      </c>
      <c r="B243" s="27" t="s">
        <v>28</v>
      </c>
      <c r="C243" s="27" t="s">
        <v>14</v>
      </c>
      <c r="D243" s="20" t="str">
        <f>VLOOKUP(Table1[[#This Row],[Point of Origin]],Table2[#All],2,0)</f>
        <v>USA</v>
      </c>
      <c r="E243" s="20" t="str">
        <f>VLOOKUP(Table1[[#This Row],[Point of Origin]],Table2[#All],3,0)</f>
        <v>Domestic</v>
      </c>
      <c r="F243" s="27" t="s">
        <v>36</v>
      </c>
      <c r="G243" s="21" t="s">
        <v>57</v>
      </c>
      <c r="H243" s="22">
        <v>348</v>
      </c>
      <c r="I243" s="22">
        <f>Table1[[#This Row],[Total Weight Imported (lbs)]]*0.453592</f>
        <v>157.85001600000001</v>
      </c>
      <c r="J243" s="23">
        <v>1218</v>
      </c>
      <c r="K243" s="38"/>
    </row>
    <row r="244" spans="1:11" ht="15.75" customHeight="1">
      <c r="A244" s="27" t="s">
        <v>134</v>
      </c>
      <c r="B244" s="27" t="s">
        <v>28</v>
      </c>
      <c r="C244" s="27" t="s">
        <v>14</v>
      </c>
      <c r="D244" s="20" t="str">
        <f>VLOOKUP(Table1[[#This Row],[Point of Origin]],Table2[#All],2,0)</f>
        <v>USA</v>
      </c>
      <c r="E244" s="20" t="str">
        <f>VLOOKUP(Table1[[#This Row],[Point of Origin]],Table2[#All],3,0)</f>
        <v>Domestic</v>
      </c>
      <c r="F244" s="27" t="s">
        <v>79</v>
      </c>
      <c r="G244" s="21" t="s">
        <v>80</v>
      </c>
      <c r="H244" s="22">
        <v>1160</v>
      </c>
      <c r="I244" s="22">
        <f>Table1[[#This Row],[Total Weight Imported (lbs)]]*0.453592</f>
        <v>526.16671999999994</v>
      </c>
      <c r="J244" s="23">
        <v>1186.0999999999999</v>
      </c>
      <c r="K244" s="37"/>
    </row>
    <row r="245" spans="1:11" ht="15.75" customHeight="1">
      <c r="A245" s="27" t="s">
        <v>134</v>
      </c>
      <c r="B245" s="27" t="s">
        <v>28</v>
      </c>
      <c r="C245" s="27" t="s">
        <v>14</v>
      </c>
      <c r="D245" s="20" t="str">
        <f>VLOOKUP(Table1[[#This Row],[Point of Origin]],Table2[#All],2,0)</f>
        <v>USA</v>
      </c>
      <c r="E245" s="20" t="str">
        <f>VLOOKUP(Table1[[#This Row],[Point of Origin]],Table2[#All],3,0)</f>
        <v>Domestic</v>
      </c>
      <c r="F245" s="27" t="s">
        <v>87</v>
      </c>
      <c r="G245" s="21" t="s">
        <v>20</v>
      </c>
      <c r="H245" s="22">
        <v>72</v>
      </c>
      <c r="I245" s="22">
        <f>Table1[[#This Row],[Total Weight Imported (lbs)]]*0.453592</f>
        <v>32.658624000000003</v>
      </c>
      <c r="J245" s="23">
        <v>151.02000000000001</v>
      </c>
      <c r="K245" s="38"/>
    </row>
    <row r="246" spans="1:11" ht="15.75" customHeight="1">
      <c r="A246" s="27" t="s">
        <v>134</v>
      </c>
      <c r="B246" s="27" t="s">
        <v>28</v>
      </c>
      <c r="C246" s="27" t="s">
        <v>14</v>
      </c>
      <c r="D246" s="20" t="str">
        <f>VLOOKUP(Table1[[#This Row],[Point of Origin]],Table2[#All],2,0)</f>
        <v>USA</v>
      </c>
      <c r="E246" s="20" t="str">
        <f>VLOOKUP(Table1[[#This Row],[Point of Origin]],Table2[#All],3,0)</f>
        <v>Domestic</v>
      </c>
      <c r="F246" s="27" t="s">
        <v>63</v>
      </c>
      <c r="G246" s="21" t="s">
        <v>64</v>
      </c>
      <c r="H246" s="22">
        <v>320</v>
      </c>
      <c r="I246" s="22">
        <f>Table1[[#This Row],[Total Weight Imported (lbs)]]*0.453592</f>
        <v>145.14944</v>
      </c>
      <c r="J246" s="23">
        <v>112</v>
      </c>
      <c r="K246" s="37"/>
    </row>
    <row r="247" spans="1:11" ht="15.75" customHeight="1">
      <c r="A247" s="27" t="s">
        <v>134</v>
      </c>
      <c r="B247" s="27" t="s">
        <v>28</v>
      </c>
      <c r="C247" s="27" t="s">
        <v>14</v>
      </c>
      <c r="D247" s="20" t="str">
        <f>VLOOKUP(Table1[[#This Row],[Point of Origin]],Table2[#All],2,0)</f>
        <v>USA</v>
      </c>
      <c r="E247" s="20" t="str">
        <f>VLOOKUP(Table1[[#This Row],[Point of Origin]],Table2[#All],3,0)</f>
        <v>Domestic</v>
      </c>
      <c r="F247" s="27" t="s">
        <v>82</v>
      </c>
      <c r="G247" s="21" t="s">
        <v>20</v>
      </c>
      <c r="H247" s="22">
        <v>720</v>
      </c>
      <c r="I247" s="22">
        <f>Table1[[#This Row],[Total Weight Imported (lbs)]]*0.453592</f>
        <v>326.58623999999998</v>
      </c>
      <c r="J247" s="23">
        <v>260</v>
      </c>
      <c r="K247" s="38"/>
    </row>
    <row r="248" spans="1:11" ht="15.75" customHeight="1">
      <c r="A248" s="27" t="s">
        <v>134</v>
      </c>
      <c r="B248" s="27" t="s">
        <v>28</v>
      </c>
      <c r="C248" s="27" t="s">
        <v>14</v>
      </c>
      <c r="D248" s="20" t="str">
        <f>VLOOKUP(Table1[[#This Row],[Point of Origin]],Table2[#All],2,0)</f>
        <v>USA</v>
      </c>
      <c r="E248" s="20" t="str">
        <f>VLOOKUP(Table1[[#This Row],[Point of Origin]],Table2[#All],3,0)</f>
        <v>Domestic</v>
      </c>
      <c r="F248" s="27" t="s">
        <v>61</v>
      </c>
      <c r="G248" s="21" t="s">
        <v>62</v>
      </c>
      <c r="H248" s="22">
        <v>400</v>
      </c>
      <c r="I248" s="22">
        <f>Table1[[#This Row],[Total Weight Imported (lbs)]]*0.453592</f>
        <v>181.43680000000001</v>
      </c>
      <c r="J248" s="23">
        <v>372.8</v>
      </c>
      <c r="K248" s="38"/>
    </row>
    <row r="249" spans="1:11" ht="15.75" customHeight="1">
      <c r="A249" s="27" t="s">
        <v>134</v>
      </c>
      <c r="B249" s="27" t="s">
        <v>28</v>
      </c>
      <c r="C249" s="27" t="s">
        <v>14</v>
      </c>
      <c r="D249" s="20" t="str">
        <f>VLOOKUP(Table1[[#This Row],[Point of Origin]],Table2[#All],2,0)</f>
        <v>USA</v>
      </c>
      <c r="E249" s="20" t="str">
        <f>VLOOKUP(Table1[[#This Row],[Point of Origin]],Table2[#All],3,0)</f>
        <v>Domestic</v>
      </c>
      <c r="F249" s="27" t="s">
        <v>19</v>
      </c>
      <c r="G249" s="21" t="s">
        <v>20</v>
      </c>
      <c r="H249" s="22">
        <v>144</v>
      </c>
      <c r="I249" s="22">
        <f>Table1[[#This Row],[Total Weight Imported (lbs)]]*0.453592</f>
        <v>65.317248000000006</v>
      </c>
      <c r="J249" s="23">
        <v>292</v>
      </c>
      <c r="K249" s="37"/>
    </row>
    <row r="250" spans="1:11" ht="15.75" customHeight="1">
      <c r="A250" s="27" t="s">
        <v>134</v>
      </c>
      <c r="B250" s="27" t="s">
        <v>28</v>
      </c>
      <c r="C250" s="27" t="s">
        <v>14</v>
      </c>
      <c r="D250" s="20" t="str">
        <f>VLOOKUP(Table1[[#This Row],[Point of Origin]],Table2[#All],2,0)</f>
        <v>USA</v>
      </c>
      <c r="E250" s="20" t="str">
        <f>VLOOKUP(Table1[[#This Row],[Point of Origin]],Table2[#All],3,0)</f>
        <v>Domestic</v>
      </c>
      <c r="F250" s="27" t="s">
        <v>61</v>
      </c>
      <c r="G250" s="21" t="s">
        <v>62</v>
      </c>
      <c r="H250" s="22">
        <v>70</v>
      </c>
      <c r="I250" s="22">
        <f>Table1[[#This Row],[Total Weight Imported (lbs)]]*0.453592</f>
        <v>31.751439999999999</v>
      </c>
      <c r="J250" s="23">
        <v>108.5</v>
      </c>
      <c r="K250" s="38"/>
    </row>
    <row r="251" spans="1:11" ht="15.75" customHeight="1">
      <c r="A251" s="27" t="s">
        <v>134</v>
      </c>
      <c r="B251" s="27" t="s">
        <v>28</v>
      </c>
      <c r="C251" s="27" t="s">
        <v>14</v>
      </c>
      <c r="D251" s="20" t="str">
        <f>VLOOKUP(Table1[[#This Row],[Point of Origin]],Table2[#All],2,0)</f>
        <v>USA</v>
      </c>
      <c r="E251" s="20" t="str">
        <f>VLOOKUP(Table1[[#This Row],[Point of Origin]],Table2[#All],3,0)</f>
        <v>Domestic</v>
      </c>
      <c r="F251" s="27" t="s">
        <v>76</v>
      </c>
      <c r="G251" s="21" t="s">
        <v>77</v>
      </c>
      <c r="H251" s="22">
        <v>600</v>
      </c>
      <c r="I251" s="22">
        <f>Table1[[#This Row],[Total Weight Imported (lbs)]]*0.453592</f>
        <v>272.15519999999998</v>
      </c>
      <c r="J251" s="23">
        <v>189</v>
      </c>
      <c r="K251" s="37"/>
    </row>
    <row r="252" spans="1:11" ht="15.75" customHeight="1">
      <c r="A252" s="27" t="s">
        <v>134</v>
      </c>
      <c r="B252" s="27" t="s">
        <v>28</v>
      </c>
      <c r="C252" s="27" t="s">
        <v>14</v>
      </c>
      <c r="D252" s="20" t="str">
        <f>VLOOKUP(Table1[[#This Row],[Point of Origin]],Table2[#All],2,0)</f>
        <v>USA</v>
      </c>
      <c r="E252" s="20" t="str">
        <f>VLOOKUP(Table1[[#This Row],[Point of Origin]],Table2[#All],3,0)</f>
        <v>Domestic</v>
      </c>
      <c r="F252" s="27" t="s">
        <v>56</v>
      </c>
      <c r="G252" s="21" t="s">
        <v>57</v>
      </c>
      <c r="H252" s="22">
        <v>144</v>
      </c>
      <c r="I252" s="22">
        <f>Table1[[#This Row],[Total Weight Imported (lbs)]]*0.453592</f>
        <v>65.317248000000006</v>
      </c>
      <c r="J252" s="23">
        <v>112.5</v>
      </c>
      <c r="K252" s="38"/>
    </row>
    <row r="253" spans="1:11" ht="15.75" customHeight="1">
      <c r="A253" s="27" t="s">
        <v>134</v>
      </c>
      <c r="B253" s="27" t="s">
        <v>46</v>
      </c>
      <c r="C253" s="27" t="s">
        <v>46</v>
      </c>
      <c r="D253" s="20" t="str">
        <f>VLOOKUP(Table1[[#This Row],[Point of Origin]],Table2[#All],2,0)</f>
        <v>Mexico</v>
      </c>
      <c r="E253" s="20" t="str">
        <f>VLOOKUP(Table1[[#This Row],[Point of Origin]],Table2[#All],3,0)</f>
        <v>International</v>
      </c>
      <c r="F253" s="27" t="s">
        <v>67</v>
      </c>
      <c r="G253" s="21" t="s">
        <v>68</v>
      </c>
      <c r="H253" s="22">
        <v>350</v>
      </c>
      <c r="I253" s="22">
        <f>Table1[[#This Row],[Total Weight Imported (lbs)]]*0.453592</f>
        <v>158.75720000000001</v>
      </c>
      <c r="J253" s="23">
        <v>1070.5</v>
      </c>
      <c r="K253" s="38"/>
    </row>
    <row r="254" spans="1:11" ht="15.75" customHeight="1">
      <c r="A254" s="27" t="s">
        <v>134</v>
      </c>
      <c r="B254" s="27" t="s">
        <v>46</v>
      </c>
      <c r="C254" s="27" t="s">
        <v>46</v>
      </c>
      <c r="D254" s="20" t="str">
        <f>VLOOKUP(Table1[[#This Row],[Point of Origin]],Table2[#All],2,0)</f>
        <v>Mexico</v>
      </c>
      <c r="E254" s="20" t="str">
        <f>VLOOKUP(Table1[[#This Row],[Point of Origin]],Table2[#All],3,0)</f>
        <v>International</v>
      </c>
      <c r="F254" s="27" t="s">
        <v>15</v>
      </c>
      <c r="G254" s="21" t="s">
        <v>16</v>
      </c>
      <c r="H254" s="22">
        <v>44</v>
      </c>
      <c r="I254" s="22">
        <f>Table1[[#This Row],[Total Weight Imported (lbs)]]*0.453592</f>
        <v>19.958047999999998</v>
      </c>
      <c r="J254" s="23">
        <v>203.8</v>
      </c>
      <c r="K254" s="38"/>
    </row>
    <row r="255" spans="1:11" ht="15.75" customHeight="1">
      <c r="A255" s="27" t="s">
        <v>134</v>
      </c>
      <c r="B255" s="27" t="s">
        <v>46</v>
      </c>
      <c r="C255" s="27" t="s">
        <v>46</v>
      </c>
      <c r="D255" s="20" t="str">
        <f>VLOOKUP(Table1[[#This Row],[Point of Origin]],Table2[#All],2,0)</f>
        <v>Mexico</v>
      </c>
      <c r="E255" s="20" t="str">
        <f>VLOOKUP(Table1[[#This Row],[Point of Origin]],Table2[#All],3,0)</f>
        <v>International</v>
      </c>
      <c r="F255" s="27" t="s">
        <v>38</v>
      </c>
      <c r="G255" s="21" t="s">
        <v>39</v>
      </c>
      <c r="H255" s="22">
        <v>40</v>
      </c>
      <c r="I255" s="22">
        <f>Table1[[#This Row],[Total Weight Imported (lbs)]]*0.453592</f>
        <v>18.14368</v>
      </c>
      <c r="J255" s="23">
        <v>71.900000000000006</v>
      </c>
      <c r="K255" s="38"/>
    </row>
    <row r="256" spans="1:11" ht="15.75" customHeight="1">
      <c r="A256" s="27" t="s">
        <v>134</v>
      </c>
      <c r="B256" s="27" t="s">
        <v>46</v>
      </c>
      <c r="C256" s="27" t="s">
        <v>46</v>
      </c>
      <c r="D256" s="20" t="str">
        <f>VLOOKUP(Table1[[#This Row],[Point of Origin]],Table2[#All],2,0)</f>
        <v>Mexico</v>
      </c>
      <c r="E256" s="20" t="str">
        <f>VLOOKUP(Table1[[#This Row],[Point of Origin]],Table2[#All],3,0)</f>
        <v>International</v>
      </c>
      <c r="F256" s="27" t="s">
        <v>146</v>
      </c>
      <c r="G256" s="21" t="s">
        <v>32</v>
      </c>
      <c r="H256" s="22">
        <v>90</v>
      </c>
      <c r="I256" s="22">
        <f>Table1[[#This Row],[Total Weight Imported (lbs)]]*0.453592</f>
        <v>40.823279999999997</v>
      </c>
      <c r="J256" s="23">
        <v>92.55</v>
      </c>
      <c r="K256" s="38"/>
    </row>
    <row r="257" spans="1:11" ht="15.75" customHeight="1">
      <c r="A257" s="27" t="s">
        <v>134</v>
      </c>
      <c r="B257" s="27" t="s">
        <v>46</v>
      </c>
      <c r="C257" s="27" t="s">
        <v>46</v>
      </c>
      <c r="D257" s="20" t="str">
        <f>VLOOKUP(Table1[[#This Row],[Point of Origin]],Table2[#All],2,0)</f>
        <v>Mexico</v>
      </c>
      <c r="E257" s="20" t="str">
        <f>VLOOKUP(Table1[[#This Row],[Point of Origin]],Table2[#All],3,0)</f>
        <v>International</v>
      </c>
      <c r="F257" s="27" t="s">
        <v>38</v>
      </c>
      <c r="G257" s="21" t="s">
        <v>39</v>
      </c>
      <c r="H257" s="22">
        <v>360</v>
      </c>
      <c r="I257" s="22">
        <f>Table1[[#This Row],[Total Weight Imported (lbs)]]*0.453592</f>
        <v>163.29311999999999</v>
      </c>
      <c r="J257" s="23">
        <v>629.1</v>
      </c>
      <c r="K257" s="38"/>
    </row>
    <row r="258" spans="1:11" ht="15.75" customHeight="1">
      <c r="A258" s="27" t="s">
        <v>134</v>
      </c>
      <c r="B258" s="27" t="s">
        <v>46</v>
      </c>
      <c r="C258" s="27" t="s">
        <v>46</v>
      </c>
      <c r="D258" s="20" t="str">
        <f>VLOOKUP(Table1[[#This Row],[Point of Origin]],Table2[#All],2,0)</f>
        <v>Mexico</v>
      </c>
      <c r="E258" s="20" t="str">
        <f>VLOOKUP(Table1[[#This Row],[Point of Origin]],Table2[#All],3,0)</f>
        <v>International</v>
      </c>
      <c r="F258" s="27" t="s">
        <v>38</v>
      </c>
      <c r="G258" s="21" t="s">
        <v>39</v>
      </c>
      <c r="H258" s="22">
        <v>550</v>
      </c>
      <c r="I258" s="22">
        <f>Table1[[#This Row],[Total Weight Imported (lbs)]]*0.453592</f>
        <v>249.47559999999999</v>
      </c>
      <c r="J258" s="23">
        <v>856.9</v>
      </c>
      <c r="K258" s="38"/>
    </row>
    <row r="259" spans="1:11" ht="15.75" customHeight="1">
      <c r="A259" s="27" t="s">
        <v>134</v>
      </c>
      <c r="B259" s="27" t="s">
        <v>46</v>
      </c>
      <c r="C259" s="27" t="s">
        <v>46</v>
      </c>
      <c r="D259" s="20" t="str">
        <f>VLOOKUP(Table1[[#This Row],[Point of Origin]],Table2[#All],2,0)</f>
        <v>Mexico</v>
      </c>
      <c r="E259" s="20" t="str">
        <f>VLOOKUP(Table1[[#This Row],[Point of Origin]],Table2[#All],3,0)</f>
        <v>International</v>
      </c>
      <c r="F259" s="27" t="s">
        <v>58</v>
      </c>
      <c r="G259" s="21" t="s">
        <v>34</v>
      </c>
      <c r="H259" s="22">
        <v>560</v>
      </c>
      <c r="I259" s="22">
        <f>Table1[[#This Row],[Total Weight Imported (lbs)]]*0.453592</f>
        <v>254.01151999999999</v>
      </c>
      <c r="J259" s="23">
        <v>1466.5</v>
      </c>
      <c r="K259" s="38"/>
    </row>
    <row r="260" spans="1:11" ht="15.75" customHeight="1">
      <c r="A260" s="27" t="s">
        <v>134</v>
      </c>
      <c r="B260" s="27" t="s">
        <v>46</v>
      </c>
      <c r="C260" s="27" t="s">
        <v>46</v>
      </c>
      <c r="D260" s="20" t="str">
        <f>VLOOKUP(Table1[[#This Row],[Point of Origin]],Table2[#All],2,0)</f>
        <v>Mexico</v>
      </c>
      <c r="E260" s="20" t="str">
        <f>VLOOKUP(Table1[[#This Row],[Point of Origin]],Table2[#All],3,0)</f>
        <v>International</v>
      </c>
      <c r="F260" s="27" t="s">
        <v>38</v>
      </c>
      <c r="G260" s="21" t="s">
        <v>39</v>
      </c>
      <c r="H260" s="22">
        <v>22.5</v>
      </c>
      <c r="I260" s="22">
        <f>Table1[[#This Row],[Total Weight Imported (lbs)]]*0.453592</f>
        <v>10.205819999999999</v>
      </c>
      <c r="J260" s="23">
        <v>68.849999999999994</v>
      </c>
      <c r="K260" s="38"/>
    </row>
    <row r="261" spans="1:11" ht="15.75" customHeight="1">
      <c r="A261" s="27" t="s">
        <v>134</v>
      </c>
      <c r="B261" s="27" t="s">
        <v>46</v>
      </c>
      <c r="C261" s="27" t="s">
        <v>46</v>
      </c>
      <c r="D261" s="20" t="str">
        <f>VLOOKUP(Table1[[#This Row],[Point of Origin]],Table2[#All],2,0)</f>
        <v>Mexico</v>
      </c>
      <c r="E261" s="20" t="str">
        <f>VLOOKUP(Table1[[#This Row],[Point of Origin]],Table2[#All],3,0)</f>
        <v>International</v>
      </c>
      <c r="F261" s="27" t="s">
        <v>147</v>
      </c>
      <c r="G261" s="21" t="s">
        <v>138</v>
      </c>
      <c r="H261" s="22">
        <v>288</v>
      </c>
      <c r="I261" s="22">
        <f>Table1[[#This Row],[Total Weight Imported (lbs)]]*0.453592</f>
        <v>130.63449600000001</v>
      </c>
      <c r="J261" s="23">
        <v>360</v>
      </c>
      <c r="K261" s="38"/>
    </row>
    <row r="262" spans="1:11" ht="15.75" customHeight="1">
      <c r="A262" s="27" t="s">
        <v>134</v>
      </c>
      <c r="B262" s="27" t="s">
        <v>46</v>
      </c>
      <c r="C262" s="27" t="s">
        <v>46</v>
      </c>
      <c r="D262" s="20" t="str">
        <f>VLOOKUP(Table1[[#This Row],[Point of Origin]],Table2[#All],2,0)</f>
        <v>Mexico</v>
      </c>
      <c r="E262" s="20" t="str">
        <f>VLOOKUP(Table1[[#This Row],[Point of Origin]],Table2[#All],3,0)</f>
        <v>International</v>
      </c>
      <c r="F262" s="20" t="s">
        <v>83</v>
      </c>
      <c r="G262" s="21" t="s">
        <v>32</v>
      </c>
      <c r="H262" s="22">
        <v>20</v>
      </c>
      <c r="I262" s="22">
        <f>Table1[[#This Row],[Total Weight Imported (lbs)]]*0.453592</f>
        <v>9.0718399999999999</v>
      </c>
      <c r="J262" s="23">
        <v>219.8</v>
      </c>
      <c r="K262" s="38"/>
    </row>
    <row r="263" spans="1:11" ht="15.75" customHeight="1">
      <c r="A263" s="27" t="s">
        <v>134</v>
      </c>
      <c r="B263" s="27" t="s">
        <v>46</v>
      </c>
      <c r="C263" s="27" t="s">
        <v>46</v>
      </c>
      <c r="D263" s="20" t="str">
        <f>VLOOKUP(Table1[[#This Row],[Point of Origin]],Table2[#All],2,0)</f>
        <v>Mexico</v>
      </c>
      <c r="E263" s="20" t="str">
        <f>VLOOKUP(Table1[[#This Row],[Point of Origin]],Table2[#All],3,0)</f>
        <v>International</v>
      </c>
      <c r="F263" s="27" t="s">
        <v>38</v>
      </c>
      <c r="G263" s="21" t="s">
        <v>39</v>
      </c>
      <c r="H263" s="22">
        <v>60</v>
      </c>
      <c r="I263" s="22">
        <f>Table1[[#This Row],[Total Weight Imported (lbs)]]*0.453592</f>
        <v>27.215519999999998</v>
      </c>
      <c r="J263" s="23">
        <v>107.85</v>
      </c>
      <c r="K263" s="38"/>
    </row>
    <row r="264" spans="1:11" ht="15.75" customHeight="1">
      <c r="A264" s="27" t="s">
        <v>134</v>
      </c>
      <c r="B264" s="27" t="s">
        <v>46</v>
      </c>
      <c r="C264" s="27" t="s">
        <v>46</v>
      </c>
      <c r="D264" s="20" t="str">
        <f>VLOOKUP(Table1[[#This Row],[Point of Origin]],Table2[#All],2,0)</f>
        <v>Mexico</v>
      </c>
      <c r="E264" s="20" t="str">
        <f>VLOOKUP(Table1[[#This Row],[Point of Origin]],Table2[#All],3,0)</f>
        <v>International</v>
      </c>
      <c r="F264" s="27" t="s">
        <v>38</v>
      </c>
      <c r="G264" s="21" t="s">
        <v>39</v>
      </c>
      <c r="H264" s="22">
        <v>800</v>
      </c>
      <c r="I264" s="22">
        <f>Table1[[#This Row],[Total Weight Imported (lbs)]]*0.453592</f>
        <v>362.87360000000001</v>
      </c>
      <c r="J264" s="23">
        <v>1398</v>
      </c>
      <c r="K264" s="38"/>
    </row>
    <row r="265" spans="1:11" ht="15.75" customHeight="1">
      <c r="A265" s="27" t="s">
        <v>134</v>
      </c>
      <c r="B265" s="27" t="s">
        <v>46</v>
      </c>
      <c r="C265" s="27" t="s">
        <v>46</v>
      </c>
      <c r="D265" s="20" t="str">
        <f>VLOOKUP(Table1[[#This Row],[Point of Origin]],Table2[#All],2,0)</f>
        <v>Mexico</v>
      </c>
      <c r="E265" s="20" t="str">
        <f>VLOOKUP(Table1[[#This Row],[Point of Origin]],Table2[#All],3,0)</f>
        <v>International</v>
      </c>
      <c r="F265" s="27" t="s">
        <v>38</v>
      </c>
      <c r="G265" s="21" t="s">
        <v>39</v>
      </c>
      <c r="H265" s="22">
        <v>1125</v>
      </c>
      <c r="I265" s="22">
        <f>Table1[[#This Row],[Total Weight Imported (lbs)]]*0.453592</f>
        <v>510.291</v>
      </c>
      <c r="J265" s="23">
        <v>1752.75</v>
      </c>
      <c r="K265" s="38"/>
    </row>
    <row r="266" spans="1:11" ht="15.75" customHeight="1">
      <c r="A266" s="27" t="s">
        <v>134</v>
      </c>
      <c r="B266" s="27" t="s">
        <v>46</v>
      </c>
      <c r="C266" s="27" t="s">
        <v>46</v>
      </c>
      <c r="D266" s="20" t="str">
        <f>VLOOKUP(Table1[[#This Row],[Point of Origin]],Table2[#All],2,0)</f>
        <v>Mexico</v>
      </c>
      <c r="E266" s="20" t="str">
        <f>VLOOKUP(Table1[[#This Row],[Point of Origin]],Table2[#All],3,0)</f>
        <v>International</v>
      </c>
      <c r="F266" s="27" t="s">
        <v>58</v>
      </c>
      <c r="G266" s="21" t="s">
        <v>34</v>
      </c>
      <c r="H266" s="22">
        <v>96</v>
      </c>
      <c r="I266" s="22">
        <f>Table1[[#This Row],[Total Weight Imported (lbs)]]*0.453592</f>
        <v>43.544832</v>
      </c>
      <c r="J266" s="23">
        <v>142.19999999999999</v>
      </c>
      <c r="K266" s="38"/>
    </row>
    <row r="267" spans="1:11" ht="15.75" customHeight="1">
      <c r="A267" s="27" t="s">
        <v>134</v>
      </c>
      <c r="B267" s="27" t="s">
        <v>46</v>
      </c>
      <c r="C267" s="27" t="s">
        <v>46</v>
      </c>
      <c r="D267" s="20" t="str">
        <f>VLOOKUP(Table1[[#This Row],[Point of Origin]],Table2[#All],2,0)</f>
        <v>Mexico</v>
      </c>
      <c r="E267" s="20" t="str">
        <f>VLOOKUP(Table1[[#This Row],[Point of Origin]],Table2[#All],3,0)</f>
        <v>International</v>
      </c>
      <c r="F267" s="20" t="s">
        <v>17</v>
      </c>
      <c r="G267" s="21" t="s">
        <v>18</v>
      </c>
      <c r="H267" s="22">
        <v>330</v>
      </c>
      <c r="I267" s="22">
        <f>Table1[[#This Row],[Total Weight Imported (lbs)]]*0.453592</f>
        <v>149.68536</v>
      </c>
      <c r="J267" s="23">
        <v>759</v>
      </c>
      <c r="K267" s="38"/>
    </row>
    <row r="268" spans="1:11" ht="15.75" customHeight="1">
      <c r="A268" s="27" t="s">
        <v>134</v>
      </c>
      <c r="B268" s="27" t="s">
        <v>28</v>
      </c>
      <c r="C268" s="27" t="s">
        <v>14</v>
      </c>
      <c r="D268" s="20" t="str">
        <f>VLOOKUP(Table1[[#This Row],[Point of Origin]],Table2[#All],2,0)</f>
        <v>USA</v>
      </c>
      <c r="E268" s="20" t="str">
        <f>VLOOKUP(Table1[[#This Row],[Point of Origin]],Table2[#All],3,0)</f>
        <v>Domestic</v>
      </c>
      <c r="F268" s="27" t="s">
        <v>82</v>
      </c>
      <c r="G268" s="21" t="s">
        <v>20</v>
      </c>
      <c r="H268" s="22">
        <v>45</v>
      </c>
      <c r="I268" s="22">
        <f>Table1[[#This Row],[Total Weight Imported (lbs)]]*0.453592</f>
        <v>20.411639999999998</v>
      </c>
      <c r="J268" s="23">
        <v>945</v>
      </c>
      <c r="K268" s="38"/>
    </row>
    <row r="269" spans="1:11" ht="15.75" customHeight="1">
      <c r="A269" s="27" t="s">
        <v>134</v>
      </c>
      <c r="B269" s="27" t="s">
        <v>28</v>
      </c>
      <c r="C269" s="27" t="s">
        <v>14</v>
      </c>
      <c r="D269" s="20" t="str">
        <f>VLOOKUP(Table1[[#This Row],[Point of Origin]],Table2[#All],2,0)</f>
        <v>USA</v>
      </c>
      <c r="E269" s="20" t="str">
        <f>VLOOKUP(Table1[[#This Row],[Point of Origin]],Table2[#All],3,0)</f>
        <v>Domestic</v>
      </c>
      <c r="F269" s="20" t="s">
        <v>19</v>
      </c>
      <c r="G269" s="21" t="s">
        <v>20</v>
      </c>
      <c r="H269" s="22">
        <v>30</v>
      </c>
      <c r="I269" s="22">
        <f>Table1[[#This Row],[Total Weight Imported (lbs)]]*0.453592</f>
        <v>13.607759999999999</v>
      </c>
      <c r="J269" s="23">
        <v>80</v>
      </c>
      <c r="K269" s="38"/>
    </row>
    <row r="270" spans="1:11" ht="15.75" customHeight="1">
      <c r="A270" s="27" t="s">
        <v>134</v>
      </c>
      <c r="B270" s="27" t="s">
        <v>28</v>
      </c>
      <c r="C270" s="27" t="s">
        <v>14</v>
      </c>
      <c r="D270" s="20" t="str">
        <f>VLOOKUP(Table1[[#This Row],[Point of Origin]],Table2[#All],2,0)</f>
        <v>USA</v>
      </c>
      <c r="E270" s="20" t="str">
        <f>VLOOKUP(Table1[[#This Row],[Point of Origin]],Table2[#All],3,0)</f>
        <v>Domestic</v>
      </c>
      <c r="F270" s="27" t="s">
        <v>148</v>
      </c>
      <c r="G270" s="21" t="s">
        <v>20</v>
      </c>
      <c r="H270" s="22">
        <v>30</v>
      </c>
      <c r="I270" s="22">
        <f>Table1[[#This Row],[Total Weight Imported (lbs)]]*0.453592</f>
        <v>13.607759999999999</v>
      </c>
      <c r="J270" s="23">
        <v>644</v>
      </c>
      <c r="K270" s="37"/>
    </row>
    <row r="271" spans="1:11" ht="15.75" customHeight="1">
      <c r="A271" s="28" t="s">
        <v>149</v>
      </c>
      <c r="B271" s="28" t="s">
        <v>28</v>
      </c>
      <c r="C271" s="28" t="s">
        <v>14</v>
      </c>
      <c r="D271" s="28" t="str">
        <f>VLOOKUP(Table1[[#This Row],[Point of Origin]],Table2[#All],2,0)</f>
        <v>USA</v>
      </c>
      <c r="E271" s="28" t="str">
        <f>VLOOKUP(Table1[[#This Row],[Point of Origin]],Table2[#All],3,0)</f>
        <v>Domestic</v>
      </c>
      <c r="F271" s="28" t="s">
        <v>81</v>
      </c>
      <c r="G271" s="21" t="s">
        <v>62</v>
      </c>
      <c r="H271" s="22">
        <v>2800</v>
      </c>
      <c r="I271" s="22">
        <f>Table1[[#This Row],[Total Weight Imported (lbs)]]*0.453592</f>
        <v>1270.0576000000001</v>
      </c>
      <c r="J271" s="23">
        <v>2576</v>
      </c>
      <c r="K271" s="38"/>
    </row>
    <row r="272" spans="1:11" ht="15.75" customHeight="1">
      <c r="A272" s="28" t="s">
        <v>149</v>
      </c>
      <c r="B272" s="28" t="s">
        <v>28</v>
      </c>
      <c r="C272" s="28" t="s">
        <v>14</v>
      </c>
      <c r="D272" s="28" t="str">
        <f>VLOOKUP(Table1[[#This Row],[Point of Origin]],Table2[#All],2,0)</f>
        <v>USA</v>
      </c>
      <c r="E272" s="28" t="str">
        <f>VLOOKUP(Table1[[#This Row],[Point of Origin]],Table2[#All],3,0)</f>
        <v>Domestic</v>
      </c>
      <c r="F272" s="28" t="s">
        <v>81</v>
      </c>
      <c r="G272" s="21" t="s">
        <v>62</v>
      </c>
      <c r="H272" s="22">
        <v>1400</v>
      </c>
      <c r="I272" s="22">
        <f>Table1[[#This Row],[Total Weight Imported (lbs)]]*0.453592</f>
        <v>635.02880000000005</v>
      </c>
      <c r="J272" s="23">
        <v>1512</v>
      </c>
      <c r="K272" s="38"/>
    </row>
    <row r="273" spans="1:11" ht="15.75" customHeight="1">
      <c r="A273" s="28" t="s">
        <v>149</v>
      </c>
      <c r="B273" s="28" t="s">
        <v>28</v>
      </c>
      <c r="C273" s="28" t="s">
        <v>14</v>
      </c>
      <c r="D273" s="28" t="str">
        <f>VLOOKUP(Table1[[#This Row],[Point of Origin]],Table2[#All],2,0)</f>
        <v>USA</v>
      </c>
      <c r="E273" s="28" t="str">
        <f>VLOOKUP(Table1[[#This Row],[Point of Origin]],Table2[#All],3,0)</f>
        <v>Domestic</v>
      </c>
      <c r="F273" s="36" t="s">
        <v>148</v>
      </c>
      <c r="G273" s="21" t="s">
        <v>20</v>
      </c>
      <c r="H273" s="22">
        <v>1890</v>
      </c>
      <c r="I273" s="22">
        <f>Table1[[#This Row],[Total Weight Imported (lbs)]]*0.453592</f>
        <v>857.28887999999995</v>
      </c>
      <c r="J273" s="23">
        <v>1890</v>
      </c>
      <c r="K273" s="40"/>
    </row>
    <row r="274" spans="1:11" ht="15.75" customHeight="1">
      <c r="A274" s="28" t="s">
        <v>149</v>
      </c>
      <c r="B274" s="28" t="s">
        <v>28</v>
      </c>
      <c r="C274" s="28" t="s">
        <v>14</v>
      </c>
      <c r="D274" s="28" t="str">
        <f>VLOOKUP(Table1[[#This Row],[Point of Origin]],Table2[#All],2,0)</f>
        <v>USA</v>
      </c>
      <c r="E274" s="28" t="str">
        <f>VLOOKUP(Table1[[#This Row],[Point of Origin]],Table2[#All],3,0)</f>
        <v>Domestic</v>
      </c>
      <c r="F274" s="28" t="s">
        <v>82</v>
      </c>
      <c r="G274" s="21" t="s">
        <v>20</v>
      </c>
      <c r="H274" s="22">
        <v>3500</v>
      </c>
      <c r="I274" s="22">
        <f>Table1[[#This Row],[Total Weight Imported (lbs)]]*0.453592</f>
        <v>1587.5719999999999</v>
      </c>
      <c r="J274" s="23">
        <v>2152.5</v>
      </c>
      <c r="K274" s="38"/>
    </row>
    <row r="275" spans="1:11" ht="15.75" customHeight="1">
      <c r="A275" s="27" t="s">
        <v>150</v>
      </c>
      <c r="B275" s="27" t="s">
        <v>28</v>
      </c>
      <c r="C275" s="27" t="s">
        <v>14</v>
      </c>
      <c r="D275" s="20" t="str">
        <f>VLOOKUP(Table1[[#This Row],[Point of Origin]],Table2[#All],2,0)</f>
        <v>USA</v>
      </c>
      <c r="E275" s="20" t="str">
        <f>VLOOKUP(Table1[[#This Row],[Point of Origin]],Table2[#All],3,0)</f>
        <v>Domestic</v>
      </c>
      <c r="F275" s="27" t="s">
        <v>151</v>
      </c>
      <c r="G275" s="21" t="s">
        <v>152</v>
      </c>
      <c r="H275" s="22">
        <v>34560</v>
      </c>
      <c r="I275" s="22">
        <f>Table1[[#This Row],[Total Weight Imported (lbs)]]*0.453592</f>
        <v>15676.139520000001</v>
      </c>
      <c r="J275" s="23">
        <v>18714.240000000002</v>
      </c>
      <c r="K275" s="38"/>
    </row>
    <row r="276" spans="1:11" ht="15.75" customHeight="1">
      <c r="A276" s="28" t="s">
        <v>153</v>
      </c>
      <c r="B276" s="28" t="s">
        <v>28</v>
      </c>
      <c r="C276" s="28" t="s">
        <v>14</v>
      </c>
      <c r="D276" s="28" t="str">
        <f>VLOOKUP(Table1[[#This Row],[Point of Origin]],Table2[#All],2,0)</f>
        <v>USA</v>
      </c>
      <c r="E276" s="28" t="str">
        <f>VLOOKUP(Table1[[#This Row],[Point of Origin]],Table2[#All],3,0)</f>
        <v>Domestic</v>
      </c>
      <c r="F276" s="28" t="s">
        <v>121</v>
      </c>
      <c r="G276" s="21" t="s">
        <v>122</v>
      </c>
      <c r="H276" s="22">
        <v>38</v>
      </c>
      <c r="I276" s="22">
        <f>Table1[[#This Row],[Total Weight Imported (lbs)]]*0.453592</f>
        <v>17.236495999999999</v>
      </c>
      <c r="J276" s="23">
        <v>70.5</v>
      </c>
      <c r="K276" s="37"/>
    </row>
    <row r="277" spans="1:11" ht="15.75" customHeight="1">
      <c r="A277" s="28" t="s">
        <v>153</v>
      </c>
      <c r="B277" s="28" t="s">
        <v>28</v>
      </c>
      <c r="C277" s="28" t="s">
        <v>14</v>
      </c>
      <c r="D277" s="28" t="str">
        <f>VLOOKUP(Table1[[#This Row],[Point of Origin]],Table2[#All],2,0)</f>
        <v>USA</v>
      </c>
      <c r="E277" s="28" t="str">
        <f>VLOOKUP(Table1[[#This Row],[Point of Origin]],Table2[#All],3,0)</f>
        <v>Domestic</v>
      </c>
      <c r="F277" s="28" t="s">
        <v>121</v>
      </c>
      <c r="G277" s="21" t="s">
        <v>122</v>
      </c>
      <c r="H277" s="22">
        <v>38</v>
      </c>
      <c r="I277" s="22">
        <f>Table1[[#This Row],[Total Weight Imported (lbs)]]*0.453592</f>
        <v>17.236495999999999</v>
      </c>
      <c r="J277" s="23">
        <v>749</v>
      </c>
      <c r="K277" s="37"/>
    </row>
    <row r="278" spans="1:11" ht="15.75" customHeight="1">
      <c r="A278" s="28" t="s">
        <v>153</v>
      </c>
      <c r="B278" s="28" t="s">
        <v>28</v>
      </c>
      <c r="C278" s="28" t="s">
        <v>14</v>
      </c>
      <c r="D278" s="28" t="str">
        <f>VLOOKUP(Table1[[#This Row],[Point of Origin]],Table2[#All],2,0)</f>
        <v>USA</v>
      </c>
      <c r="E278" s="28" t="str">
        <f>VLOOKUP(Table1[[#This Row],[Point of Origin]],Table2[#All],3,0)</f>
        <v>Domestic</v>
      </c>
      <c r="F278" s="28" t="s">
        <v>121</v>
      </c>
      <c r="G278" s="21" t="s">
        <v>122</v>
      </c>
      <c r="H278" s="22">
        <v>38</v>
      </c>
      <c r="I278" s="22">
        <f>Table1[[#This Row],[Total Weight Imported (lbs)]]*0.453592</f>
        <v>17.236495999999999</v>
      </c>
      <c r="J278" s="23">
        <v>120.45</v>
      </c>
      <c r="K278" s="37"/>
    </row>
    <row r="279" spans="1:11" ht="15.75" customHeight="1">
      <c r="A279" s="28" t="s">
        <v>153</v>
      </c>
      <c r="B279" s="28" t="s">
        <v>28</v>
      </c>
      <c r="C279" s="28" t="s">
        <v>14</v>
      </c>
      <c r="D279" s="28" t="str">
        <f>VLOOKUP(Table1[[#This Row],[Point of Origin]],Table2[#All],2,0)</f>
        <v>USA</v>
      </c>
      <c r="E279" s="28" t="str">
        <f>VLOOKUP(Table1[[#This Row],[Point of Origin]],Table2[#All],3,0)</f>
        <v>Domestic</v>
      </c>
      <c r="F279" s="28" t="s">
        <v>82</v>
      </c>
      <c r="G279" s="21" t="s">
        <v>20</v>
      </c>
      <c r="H279" s="22">
        <v>55</v>
      </c>
      <c r="I279" s="22">
        <f>Table1[[#This Row],[Total Weight Imported (lbs)]]*0.453592</f>
        <v>24.947559999999999</v>
      </c>
      <c r="J279" s="23">
        <v>131.25</v>
      </c>
      <c r="K279" s="38"/>
    </row>
    <row r="280" spans="1:11" ht="15.75" customHeight="1">
      <c r="A280" s="28" t="s">
        <v>153</v>
      </c>
      <c r="B280" s="28" t="s">
        <v>28</v>
      </c>
      <c r="C280" s="28" t="s">
        <v>14</v>
      </c>
      <c r="D280" s="28" t="str">
        <f>VLOOKUP(Table1[[#This Row],[Point of Origin]],Table2[#All],2,0)</f>
        <v>USA</v>
      </c>
      <c r="E280" s="28" t="str">
        <f>VLOOKUP(Table1[[#This Row],[Point of Origin]],Table2[#All],3,0)</f>
        <v>Domestic</v>
      </c>
      <c r="F280" s="28" t="s">
        <v>82</v>
      </c>
      <c r="G280" s="21" t="s">
        <v>20</v>
      </c>
      <c r="H280" s="22">
        <v>50</v>
      </c>
      <c r="I280" s="22">
        <f>Table1[[#This Row],[Total Weight Imported (lbs)]]*0.453592</f>
        <v>22.679600000000001</v>
      </c>
      <c r="J280" s="23">
        <v>48.8</v>
      </c>
      <c r="K280" s="38"/>
    </row>
    <row r="281" spans="1:11" ht="15.75" customHeight="1">
      <c r="A281" s="28" t="s">
        <v>153</v>
      </c>
      <c r="B281" s="28" t="s">
        <v>28</v>
      </c>
      <c r="C281" s="28" t="s">
        <v>14</v>
      </c>
      <c r="D281" s="28" t="str">
        <f>VLOOKUP(Table1[[#This Row],[Point of Origin]],Table2[#All],2,0)</f>
        <v>USA</v>
      </c>
      <c r="E281" s="28" t="str">
        <f>VLOOKUP(Table1[[#This Row],[Point of Origin]],Table2[#All],3,0)</f>
        <v>Domestic</v>
      </c>
      <c r="F281" s="28" t="s">
        <v>82</v>
      </c>
      <c r="G281" s="21" t="s">
        <v>20</v>
      </c>
      <c r="H281" s="22">
        <v>55</v>
      </c>
      <c r="I281" s="22">
        <f>Table1[[#This Row],[Total Weight Imported (lbs)]]*0.453592</f>
        <v>24.947559999999999</v>
      </c>
      <c r="J281" s="23">
        <v>84.15</v>
      </c>
      <c r="K281" s="38"/>
    </row>
    <row r="282" spans="1:11" ht="15.75" customHeight="1">
      <c r="A282" s="28" t="s">
        <v>153</v>
      </c>
      <c r="B282" s="28" t="s">
        <v>28</v>
      </c>
      <c r="C282" s="28" t="s">
        <v>14</v>
      </c>
      <c r="D282" s="28" t="str">
        <f>VLOOKUP(Table1[[#This Row],[Point of Origin]],Table2[#All],2,0)</f>
        <v>USA</v>
      </c>
      <c r="E282" s="28" t="str">
        <f>VLOOKUP(Table1[[#This Row],[Point of Origin]],Table2[#All],3,0)</f>
        <v>Domestic</v>
      </c>
      <c r="F282" s="36" t="s">
        <v>139</v>
      </c>
      <c r="G282" s="21" t="s">
        <v>140</v>
      </c>
      <c r="H282" s="22">
        <v>7</v>
      </c>
      <c r="I282" s="22">
        <f>Table1[[#This Row],[Total Weight Imported (lbs)]]*0.453592</f>
        <v>3.175144</v>
      </c>
      <c r="J282" s="23">
        <v>677.1</v>
      </c>
      <c r="K282" s="38"/>
    </row>
    <row r="283" spans="1:11" ht="15.75" customHeight="1">
      <c r="A283" s="28" t="s">
        <v>153</v>
      </c>
      <c r="B283" s="28" t="s">
        <v>28</v>
      </c>
      <c r="C283" s="28" t="s">
        <v>14</v>
      </c>
      <c r="D283" s="28" t="str">
        <f>VLOOKUP(Table1[[#This Row],[Point of Origin]],Table2[#All],2,0)</f>
        <v>USA</v>
      </c>
      <c r="E283" s="28" t="str">
        <f>VLOOKUP(Table1[[#This Row],[Point of Origin]],Table2[#All],3,0)</f>
        <v>Domestic</v>
      </c>
      <c r="F283" s="28" t="s">
        <v>154</v>
      </c>
      <c r="G283" s="21" t="s">
        <v>155</v>
      </c>
      <c r="H283" s="22">
        <v>36</v>
      </c>
      <c r="I283" s="22">
        <f>Table1[[#This Row],[Total Weight Imported (lbs)]]*0.453592</f>
        <v>16.329312000000002</v>
      </c>
      <c r="J283" s="23">
        <v>233.4</v>
      </c>
      <c r="K283" s="37"/>
    </row>
    <row r="284" spans="1:11" ht="15.75" customHeight="1">
      <c r="A284" s="28" t="s">
        <v>153</v>
      </c>
      <c r="B284" s="28" t="s">
        <v>28</v>
      </c>
      <c r="C284" s="28" t="s">
        <v>14</v>
      </c>
      <c r="D284" s="28" t="str">
        <f>VLOOKUP(Table1[[#This Row],[Point of Origin]],Table2[#All],2,0)</f>
        <v>USA</v>
      </c>
      <c r="E284" s="28" t="str">
        <f>VLOOKUP(Table1[[#This Row],[Point of Origin]],Table2[#All],3,0)</f>
        <v>Domestic</v>
      </c>
      <c r="F284" s="36" t="s">
        <v>96</v>
      </c>
      <c r="G284" s="21" t="s">
        <v>97</v>
      </c>
      <c r="H284" s="22">
        <v>30</v>
      </c>
      <c r="I284" s="22">
        <f>Table1[[#This Row],[Total Weight Imported (lbs)]]*0.453592</f>
        <v>13.607759999999999</v>
      </c>
      <c r="J284" s="23">
        <v>98.1</v>
      </c>
      <c r="K284" s="37"/>
    </row>
    <row r="285" spans="1:11" ht="15.75" customHeight="1">
      <c r="A285" s="28" t="s">
        <v>153</v>
      </c>
      <c r="B285" s="28" t="s">
        <v>28</v>
      </c>
      <c r="C285" s="28" t="s">
        <v>14</v>
      </c>
      <c r="D285" s="28" t="str">
        <f>VLOOKUP(Table1[[#This Row],[Point of Origin]],Table2[#All],2,0)</f>
        <v>USA</v>
      </c>
      <c r="E285" s="28" t="str">
        <f>VLOOKUP(Table1[[#This Row],[Point of Origin]],Table2[#All],3,0)</f>
        <v>Domestic</v>
      </c>
      <c r="F285" s="28" t="s">
        <v>43</v>
      </c>
      <c r="G285" s="21" t="s">
        <v>44</v>
      </c>
      <c r="H285" s="22">
        <v>40</v>
      </c>
      <c r="I285" s="22">
        <f>Table1[[#This Row],[Total Weight Imported (lbs)]]*0.453592</f>
        <v>18.14368</v>
      </c>
      <c r="J285" s="23">
        <v>1158.3</v>
      </c>
      <c r="K285" s="38"/>
    </row>
    <row r="286" spans="1:11" ht="15.75" customHeight="1">
      <c r="A286" s="27" t="s">
        <v>156</v>
      </c>
      <c r="B286" s="27" t="s">
        <v>28</v>
      </c>
      <c r="C286" s="27" t="s">
        <v>14</v>
      </c>
      <c r="D286" s="20" t="str">
        <f>VLOOKUP(Table1[[#This Row],[Point of Origin]],Table2[#All],2,0)</f>
        <v>USA</v>
      </c>
      <c r="E286" s="20" t="str">
        <f>VLOOKUP(Table1[[#This Row],[Point of Origin]],Table2[#All],3,0)</f>
        <v>Domestic</v>
      </c>
      <c r="F286" s="27" t="s">
        <v>121</v>
      </c>
      <c r="G286" s="21" t="s">
        <v>122</v>
      </c>
      <c r="H286" s="22">
        <v>72</v>
      </c>
      <c r="I286" s="22">
        <f>Table1[[#This Row],[Total Weight Imported (lbs)]]*0.453592</f>
        <v>32.658624000000003</v>
      </c>
      <c r="J286" s="23">
        <v>67</v>
      </c>
      <c r="K286" s="37"/>
    </row>
    <row r="287" spans="1:11" ht="15.75" customHeight="1">
      <c r="A287" s="27" t="s">
        <v>156</v>
      </c>
      <c r="B287" s="27" t="s">
        <v>28</v>
      </c>
      <c r="C287" s="27" t="s">
        <v>14</v>
      </c>
      <c r="D287" s="20" t="str">
        <f>VLOOKUP(Table1[[#This Row],[Point of Origin]],Table2[#All],2,0)</f>
        <v>USA</v>
      </c>
      <c r="E287" s="20" t="str">
        <f>VLOOKUP(Table1[[#This Row],[Point of Origin]],Table2[#All],3,0)</f>
        <v>Domestic</v>
      </c>
      <c r="F287" s="27" t="s">
        <v>121</v>
      </c>
      <c r="G287" s="21" t="s">
        <v>122</v>
      </c>
      <c r="H287" s="22">
        <v>120</v>
      </c>
      <c r="I287" s="22">
        <f>Table1[[#This Row],[Total Weight Imported (lbs)]]*0.453592</f>
        <v>54.431039999999996</v>
      </c>
      <c r="J287" s="23">
        <v>145.5</v>
      </c>
      <c r="K287" s="37"/>
    </row>
    <row r="288" spans="1:11" ht="15.75" customHeight="1">
      <c r="A288" s="27" t="s">
        <v>156</v>
      </c>
      <c r="B288" s="27" t="s">
        <v>28</v>
      </c>
      <c r="C288" s="27" t="s">
        <v>14</v>
      </c>
      <c r="D288" s="20" t="str">
        <f>VLOOKUP(Table1[[#This Row],[Point of Origin]],Table2[#All],2,0)</f>
        <v>USA</v>
      </c>
      <c r="E288" s="20" t="str">
        <f>VLOOKUP(Table1[[#This Row],[Point of Origin]],Table2[#All],3,0)</f>
        <v>Domestic</v>
      </c>
      <c r="F288" s="20" t="s">
        <v>67</v>
      </c>
      <c r="G288" s="21" t="s">
        <v>68</v>
      </c>
      <c r="H288" s="22">
        <v>96</v>
      </c>
      <c r="I288" s="22">
        <f>Table1[[#This Row],[Total Weight Imported (lbs)]]*0.453592</f>
        <v>43.544832</v>
      </c>
      <c r="J288" s="23">
        <v>310</v>
      </c>
      <c r="K288" s="38"/>
    </row>
    <row r="289" spans="1:11" ht="15.75" customHeight="1">
      <c r="A289" s="27" t="s">
        <v>156</v>
      </c>
      <c r="B289" s="27" t="s">
        <v>28</v>
      </c>
      <c r="C289" s="27" t="s">
        <v>14</v>
      </c>
      <c r="D289" s="20" t="str">
        <f>VLOOKUP(Table1[[#This Row],[Point of Origin]],Table2[#All],2,0)</f>
        <v>USA</v>
      </c>
      <c r="E289" s="20" t="str">
        <f>VLOOKUP(Table1[[#This Row],[Point of Origin]],Table2[#All],3,0)</f>
        <v>Domestic</v>
      </c>
      <c r="F289" s="20" t="s">
        <v>124</v>
      </c>
      <c r="G289" s="21" t="s">
        <v>30</v>
      </c>
      <c r="H289" s="22">
        <v>25</v>
      </c>
      <c r="I289" s="22">
        <f>Table1[[#This Row],[Total Weight Imported (lbs)]]*0.453592</f>
        <v>11.3398</v>
      </c>
      <c r="J289" s="23">
        <v>24.5</v>
      </c>
      <c r="K289" s="38"/>
    </row>
    <row r="290" spans="1:11" ht="15.75" customHeight="1">
      <c r="A290" s="27" t="s">
        <v>156</v>
      </c>
      <c r="B290" s="27" t="s">
        <v>28</v>
      </c>
      <c r="C290" s="27" t="s">
        <v>14</v>
      </c>
      <c r="D290" s="20" t="str">
        <f>VLOOKUP(Table1[[#This Row],[Point of Origin]],Table2[#All],2,0)</f>
        <v>USA</v>
      </c>
      <c r="E290" s="20" t="str">
        <f>VLOOKUP(Table1[[#This Row],[Point of Origin]],Table2[#All],3,0)</f>
        <v>Domestic</v>
      </c>
      <c r="F290" s="20" t="s">
        <v>81</v>
      </c>
      <c r="G290" s="21" t="s">
        <v>62</v>
      </c>
      <c r="H290" s="22">
        <v>150</v>
      </c>
      <c r="I290" s="22">
        <f>Table1[[#This Row],[Total Weight Imported (lbs)]]*0.453592</f>
        <v>68.038799999999995</v>
      </c>
      <c r="J290" s="23">
        <v>265.5</v>
      </c>
      <c r="K290" s="38"/>
    </row>
    <row r="291" spans="1:11" ht="15.75" customHeight="1">
      <c r="A291" s="27" t="s">
        <v>156</v>
      </c>
      <c r="B291" s="27" t="s">
        <v>28</v>
      </c>
      <c r="C291" s="27" t="s">
        <v>14</v>
      </c>
      <c r="D291" s="20" t="str">
        <f>VLOOKUP(Table1[[#This Row],[Point of Origin]],Table2[#All],2,0)</f>
        <v>USA</v>
      </c>
      <c r="E291" s="20" t="str">
        <f>VLOOKUP(Table1[[#This Row],[Point of Origin]],Table2[#All],3,0)</f>
        <v>Domestic</v>
      </c>
      <c r="F291" s="20" t="s">
        <v>81</v>
      </c>
      <c r="G291" s="21" t="s">
        <v>62</v>
      </c>
      <c r="H291" s="22">
        <v>125</v>
      </c>
      <c r="I291" s="22">
        <f>Table1[[#This Row],[Total Weight Imported (lbs)]]*0.453592</f>
        <v>56.698999999999998</v>
      </c>
      <c r="J291" s="23">
        <v>282.5</v>
      </c>
      <c r="K291" s="38"/>
    </row>
    <row r="292" spans="1:11" ht="15.75" customHeight="1">
      <c r="A292" s="27" t="s">
        <v>156</v>
      </c>
      <c r="B292" s="27" t="s">
        <v>28</v>
      </c>
      <c r="C292" s="27" t="s">
        <v>14</v>
      </c>
      <c r="D292" s="20" t="str">
        <f>VLOOKUP(Table1[[#This Row],[Point of Origin]],Table2[#All],2,0)</f>
        <v>USA</v>
      </c>
      <c r="E292" s="20" t="str">
        <f>VLOOKUP(Table1[[#This Row],[Point of Origin]],Table2[#All],3,0)</f>
        <v>Domestic</v>
      </c>
      <c r="F292" s="20" t="s">
        <v>19</v>
      </c>
      <c r="G292" s="21" t="s">
        <v>20</v>
      </c>
      <c r="H292" s="22">
        <v>240</v>
      </c>
      <c r="I292" s="22">
        <f>Table1[[#This Row],[Total Weight Imported (lbs)]]*0.453592</f>
        <v>108.86207999999999</v>
      </c>
      <c r="J292" s="23">
        <v>585</v>
      </c>
      <c r="K292" s="38"/>
    </row>
    <row r="293" spans="1:11" ht="15.75" customHeight="1">
      <c r="A293" s="27" t="s">
        <v>156</v>
      </c>
      <c r="B293" s="27" t="s">
        <v>28</v>
      </c>
      <c r="C293" s="27" t="s">
        <v>14</v>
      </c>
      <c r="D293" s="20" t="str">
        <f>VLOOKUP(Table1[[#This Row],[Point of Origin]],Table2[#All],2,0)</f>
        <v>USA</v>
      </c>
      <c r="E293" s="20" t="str">
        <f>VLOOKUP(Table1[[#This Row],[Point of Origin]],Table2[#All],3,0)</f>
        <v>Domestic</v>
      </c>
      <c r="F293" s="20" t="s">
        <v>21</v>
      </c>
      <c r="G293" s="21" t="s">
        <v>22</v>
      </c>
      <c r="H293" s="22">
        <v>50</v>
      </c>
      <c r="I293" s="22">
        <f>Table1[[#This Row],[Total Weight Imported (lbs)]]*0.453592</f>
        <v>22.679600000000001</v>
      </c>
      <c r="J293" s="23">
        <v>92.5</v>
      </c>
      <c r="K293" s="38"/>
    </row>
    <row r="294" spans="1:11" ht="15.75" customHeight="1">
      <c r="A294" s="27" t="s">
        <v>156</v>
      </c>
      <c r="B294" s="27" t="s">
        <v>28</v>
      </c>
      <c r="C294" s="27" t="s">
        <v>14</v>
      </c>
      <c r="D294" s="20" t="str">
        <f>VLOOKUP(Table1[[#This Row],[Point of Origin]],Table2[#All],2,0)</f>
        <v>USA</v>
      </c>
      <c r="E294" s="20" t="str">
        <f>VLOOKUP(Table1[[#This Row],[Point of Origin]],Table2[#All],3,0)</f>
        <v>Domestic</v>
      </c>
      <c r="F294" s="27" t="s">
        <v>157</v>
      </c>
      <c r="G294" s="21" t="s">
        <v>127</v>
      </c>
      <c r="H294" s="22">
        <v>80</v>
      </c>
      <c r="I294" s="22">
        <f>Table1[[#This Row],[Total Weight Imported (lbs)]]*0.453592</f>
        <v>36.28736</v>
      </c>
      <c r="J294" s="23">
        <v>45</v>
      </c>
      <c r="K294" s="38"/>
    </row>
    <row r="295" spans="1:11" ht="15.75" customHeight="1">
      <c r="A295" s="27" t="s">
        <v>156</v>
      </c>
      <c r="B295" s="27" t="s">
        <v>28</v>
      </c>
      <c r="C295" s="27" t="s">
        <v>14</v>
      </c>
      <c r="D295" s="20" t="str">
        <f>VLOOKUP(Table1[[#This Row],[Point of Origin]],Table2[#All],2,0)</f>
        <v>USA</v>
      </c>
      <c r="E295" s="20" t="str">
        <f>VLOOKUP(Table1[[#This Row],[Point of Origin]],Table2[#All],3,0)</f>
        <v>Domestic</v>
      </c>
      <c r="F295" s="27" t="s">
        <v>19</v>
      </c>
      <c r="G295" s="21" t="s">
        <v>20</v>
      </c>
      <c r="H295" s="22">
        <v>80.400000000000006</v>
      </c>
      <c r="I295" s="22">
        <f>Table1[[#This Row],[Total Weight Imported (lbs)]]*0.453592</f>
        <v>36.4687968</v>
      </c>
      <c r="J295" s="23">
        <v>127.5</v>
      </c>
      <c r="K295" s="38"/>
    </row>
    <row r="296" spans="1:11" ht="15.75" customHeight="1">
      <c r="A296" s="27" t="s">
        <v>156</v>
      </c>
      <c r="B296" s="27" t="s">
        <v>28</v>
      </c>
      <c r="C296" s="27" t="s">
        <v>14</v>
      </c>
      <c r="D296" s="20" t="str">
        <f>VLOOKUP(Table1[[#This Row],[Point of Origin]],Table2[#All],2,0)</f>
        <v>USA</v>
      </c>
      <c r="E296" s="20" t="str">
        <f>VLOOKUP(Table1[[#This Row],[Point of Origin]],Table2[#All],3,0)</f>
        <v>Domestic</v>
      </c>
      <c r="F296" s="27" t="s">
        <v>56</v>
      </c>
      <c r="G296" s="21" t="s">
        <v>57</v>
      </c>
      <c r="H296" s="22">
        <v>100</v>
      </c>
      <c r="I296" s="22">
        <f>Table1[[#This Row],[Total Weight Imported (lbs)]]*0.453592</f>
        <v>45.359200000000001</v>
      </c>
      <c r="J296" s="23">
        <v>77</v>
      </c>
      <c r="K296" s="38"/>
    </row>
    <row r="297" spans="1:11" ht="15.75" customHeight="1">
      <c r="A297" s="27" t="s">
        <v>156</v>
      </c>
      <c r="B297" s="27" t="s">
        <v>28</v>
      </c>
      <c r="C297" s="27" t="s">
        <v>14</v>
      </c>
      <c r="D297" s="20" t="str">
        <f>VLOOKUP(Table1[[#This Row],[Point of Origin]],Table2[#All],2,0)</f>
        <v>USA</v>
      </c>
      <c r="E297" s="20" t="str">
        <f>VLOOKUP(Table1[[#This Row],[Point of Origin]],Table2[#All],3,0)</f>
        <v>Domestic</v>
      </c>
      <c r="F297" s="27" t="s">
        <v>71</v>
      </c>
      <c r="G297" s="21" t="s">
        <v>72</v>
      </c>
      <c r="H297" s="22">
        <v>19</v>
      </c>
      <c r="I297" s="22">
        <f>Table1[[#This Row],[Total Weight Imported (lbs)]]*0.453592</f>
        <v>8.6182479999999995</v>
      </c>
      <c r="J297" s="23">
        <v>42.25</v>
      </c>
      <c r="K297" s="38"/>
    </row>
    <row r="298" spans="1:11" ht="15.75" customHeight="1">
      <c r="A298" s="27" t="s">
        <v>156</v>
      </c>
      <c r="B298" s="27" t="s">
        <v>28</v>
      </c>
      <c r="C298" s="27" t="s">
        <v>14</v>
      </c>
      <c r="D298" s="20" t="str">
        <f>VLOOKUP(Table1[[#This Row],[Point of Origin]],Table2[#All],2,0)</f>
        <v>USA</v>
      </c>
      <c r="E298" s="20" t="str">
        <f>VLOOKUP(Table1[[#This Row],[Point of Origin]],Table2[#All],3,0)</f>
        <v>Domestic</v>
      </c>
      <c r="F298" s="27" t="s">
        <v>158</v>
      </c>
      <c r="G298" s="21" t="s">
        <v>127</v>
      </c>
      <c r="H298" s="22">
        <v>90</v>
      </c>
      <c r="I298" s="22">
        <f>Table1[[#This Row],[Total Weight Imported (lbs)]]*0.453592</f>
        <v>40.823279999999997</v>
      </c>
      <c r="J298" s="23">
        <v>67.5</v>
      </c>
      <c r="K298" s="38"/>
    </row>
    <row r="299" spans="1:11" ht="15.75" customHeight="1">
      <c r="A299" s="27" t="s">
        <v>156</v>
      </c>
      <c r="B299" s="27" t="s">
        <v>28</v>
      </c>
      <c r="C299" s="27" t="s">
        <v>14</v>
      </c>
      <c r="D299" s="20" t="str">
        <f>VLOOKUP(Table1[[#This Row],[Point of Origin]],Table2[#All],2,0)</f>
        <v>USA</v>
      </c>
      <c r="E299" s="20" t="str">
        <f>VLOOKUP(Table1[[#This Row],[Point of Origin]],Table2[#All],3,0)</f>
        <v>Domestic</v>
      </c>
      <c r="F299" s="27" t="s">
        <v>87</v>
      </c>
      <c r="G299" s="21" t="s">
        <v>20</v>
      </c>
      <c r="H299" s="22">
        <v>15.5</v>
      </c>
      <c r="I299" s="22">
        <f>Table1[[#This Row],[Total Weight Imported (lbs)]]*0.453592</f>
        <v>7.0306759999999997</v>
      </c>
      <c r="J299" s="23">
        <v>26.25</v>
      </c>
      <c r="K299" s="38"/>
    </row>
    <row r="300" spans="1:11" ht="15.75" customHeight="1">
      <c r="A300" s="27" t="s">
        <v>156</v>
      </c>
      <c r="B300" s="27" t="s">
        <v>28</v>
      </c>
      <c r="C300" s="27" t="s">
        <v>14</v>
      </c>
      <c r="D300" s="20" t="str">
        <f>VLOOKUP(Table1[[#This Row],[Point of Origin]],Table2[#All],2,0)</f>
        <v>USA</v>
      </c>
      <c r="E300" s="20" t="str">
        <f>VLOOKUP(Table1[[#This Row],[Point of Origin]],Table2[#All],3,0)</f>
        <v>Domestic</v>
      </c>
      <c r="F300" s="27" t="s">
        <v>137</v>
      </c>
      <c r="G300" s="21" t="s">
        <v>138</v>
      </c>
      <c r="H300" s="22">
        <v>560</v>
      </c>
      <c r="I300" s="22">
        <f>Table1[[#This Row],[Total Weight Imported (lbs)]]*0.453592</f>
        <v>254.01151999999999</v>
      </c>
      <c r="J300" s="23">
        <v>539</v>
      </c>
      <c r="K300" s="37"/>
    </row>
    <row r="301" spans="1:11" ht="15.75" customHeight="1">
      <c r="A301" s="27" t="s">
        <v>156</v>
      </c>
      <c r="B301" s="27" t="s">
        <v>28</v>
      </c>
      <c r="C301" s="27" t="s">
        <v>14</v>
      </c>
      <c r="D301" s="20" t="str">
        <f>VLOOKUP(Table1[[#This Row],[Point of Origin]],Table2[#All],2,0)</f>
        <v>USA</v>
      </c>
      <c r="E301" s="20" t="str">
        <f>VLOOKUP(Table1[[#This Row],[Point of Origin]],Table2[#All],3,0)</f>
        <v>Domestic</v>
      </c>
      <c r="F301" s="27" t="s">
        <v>59</v>
      </c>
      <c r="G301" s="21" t="s">
        <v>60</v>
      </c>
      <c r="H301" s="22">
        <v>820.7</v>
      </c>
      <c r="I301" s="22">
        <f>Table1[[#This Row],[Total Weight Imported (lbs)]]*0.453592</f>
        <v>372.26295440000001</v>
      </c>
      <c r="J301" s="23">
        <v>1116.5</v>
      </c>
      <c r="K301" s="38"/>
    </row>
    <row r="302" spans="1:11" ht="15.75" customHeight="1">
      <c r="A302" s="27" t="s">
        <v>156</v>
      </c>
      <c r="B302" s="27" t="s">
        <v>28</v>
      </c>
      <c r="C302" s="27" t="s">
        <v>14</v>
      </c>
      <c r="D302" s="20" t="str">
        <f>VLOOKUP(Table1[[#This Row],[Point of Origin]],Table2[#All],2,0)</f>
        <v>USA</v>
      </c>
      <c r="E302" s="20" t="str">
        <f>VLOOKUP(Table1[[#This Row],[Point of Origin]],Table2[#All],3,0)</f>
        <v>Domestic</v>
      </c>
      <c r="F302" s="27" t="s">
        <v>59</v>
      </c>
      <c r="G302" s="21" t="s">
        <v>60</v>
      </c>
      <c r="H302" s="22">
        <v>120</v>
      </c>
      <c r="I302" s="22">
        <f>Table1[[#This Row],[Total Weight Imported (lbs)]]*0.453592</f>
        <v>54.431039999999996</v>
      </c>
      <c r="J302" s="23">
        <v>96.5</v>
      </c>
      <c r="K302" s="38"/>
    </row>
    <row r="303" spans="1:11" ht="15.75" customHeight="1">
      <c r="A303" s="27" t="s">
        <v>156</v>
      </c>
      <c r="B303" s="27" t="s">
        <v>28</v>
      </c>
      <c r="C303" s="27" t="s">
        <v>14</v>
      </c>
      <c r="D303" s="20" t="str">
        <f>VLOOKUP(Table1[[#This Row],[Point of Origin]],Table2[#All],2,0)</f>
        <v>USA</v>
      </c>
      <c r="E303" s="20" t="str">
        <f>VLOOKUP(Table1[[#This Row],[Point of Origin]],Table2[#All],3,0)</f>
        <v>Domestic</v>
      </c>
      <c r="F303" s="27" t="s">
        <v>59</v>
      </c>
      <c r="G303" s="21" t="s">
        <v>60</v>
      </c>
      <c r="H303" s="22">
        <v>360</v>
      </c>
      <c r="I303" s="22">
        <f>Table1[[#This Row],[Total Weight Imported (lbs)]]*0.453592</f>
        <v>163.29311999999999</v>
      </c>
      <c r="J303" s="23">
        <v>418.5</v>
      </c>
      <c r="K303" s="38"/>
    </row>
    <row r="304" spans="1:11" ht="15.75" customHeight="1">
      <c r="A304" s="27" t="s">
        <v>156</v>
      </c>
      <c r="B304" s="27" t="s">
        <v>28</v>
      </c>
      <c r="C304" s="27" t="s">
        <v>14</v>
      </c>
      <c r="D304" s="20" t="str">
        <f>VLOOKUP(Table1[[#This Row],[Point of Origin]],Table2[#All],2,0)</f>
        <v>USA</v>
      </c>
      <c r="E304" s="20" t="str">
        <f>VLOOKUP(Table1[[#This Row],[Point of Origin]],Table2[#All],3,0)</f>
        <v>Domestic</v>
      </c>
      <c r="F304" s="27" t="s">
        <v>59</v>
      </c>
      <c r="G304" s="21" t="s">
        <v>60</v>
      </c>
      <c r="H304" s="22">
        <v>120</v>
      </c>
      <c r="I304" s="22">
        <f>Table1[[#This Row],[Total Weight Imported (lbs)]]*0.453592</f>
        <v>54.431039999999996</v>
      </c>
      <c r="J304" s="23">
        <v>267</v>
      </c>
      <c r="K304" s="38"/>
    </row>
    <row r="305" spans="1:11" ht="15.75" customHeight="1">
      <c r="A305" s="27" t="s">
        <v>156</v>
      </c>
      <c r="B305" s="27" t="s">
        <v>28</v>
      </c>
      <c r="C305" s="27" t="s">
        <v>14</v>
      </c>
      <c r="D305" s="20" t="str">
        <f>VLOOKUP(Table1[[#This Row],[Point of Origin]],Table2[#All],2,0)</f>
        <v>USA</v>
      </c>
      <c r="E305" s="20" t="str">
        <f>VLOOKUP(Table1[[#This Row],[Point of Origin]],Table2[#All],3,0)</f>
        <v>Domestic</v>
      </c>
      <c r="F305" s="27" t="s">
        <v>147</v>
      </c>
      <c r="G305" s="21" t="s">
        <v>138</v>
      </c>
      <c r="H305" s="22">
        <v>112.8</v>
      </c>
      <c r="I305" s="22">
        <f>Table1[[#This Row],[Total Weight Imported (lbs)]]*0.453592</f>
        <v>51.1651776</v>
      </c>
      <c r="J305" s="23">
        <v>187.5</v>
      </c>
      <c r="K305" s="38"/>
    </row>
    <row r="306" spans="1:11" ht="15.75" customHeight="1">
      <c r="A306" s="27" t="s">
        <v>156</v>
      </c>
      <c r="B306" s="27" t="s">
        <v>28</v>
      </c>
      <c r="C306" s="27" t="s">
        <v>14</v>
      </c>
      <c r="D306" s="20" t="str">
        <f>VLOOKUP(Table1[[#This Row],[Point of Origin]],Table2[#All],2,0)</f>
        <v>USA</v>
      </c>
      <c r="E306" s="20" t="str">
        <f>VLOOKUP(Table1[[#This Row],[Point of Origin]],Table2[#All],3,0)</f>
        <v>Domestic</v>
      </c>
      <c r="F306" s="27" t="s">
        <v>48</v>
      </c>
      <c r="G306" s="21" t="s">
        <v>49</v>
      </c>
      <c r="H306" s="22">
        <v>65.8</v>
      </c>
      <c r="I306" s="22">
        <f>Table1[[#This Row],[Total Weight Imported (lbs)]]*0.453592</f>
        <v>29.846353599999997</v>
      </c>
      <c r="J306" s="23">
        <v>197.75</v>
      </c>
      <c r="K306" s="38"/>
    </row>
    <row r="307" spans="1:11" ht="15.75" customHeight="1">
      <c r="A307" s="27" t="s">
        <v>156</v>
      </c>
      <c r="B307" s="27" t="s">
        <v>28</v>
      </c>
      <c r="C307" s="27" t="s">
        <v>14</v>
      </c>
      <c r="D307" s="20" t="str">
        <f>VLOOKUP(Table1[[#This Row],[Point of Origin]],Table2[#All],2,0)</f>
        <v>USA</v>
      </c>
      <c r="E307" s="20" t="str">
        <f>VLOOKUP(Table1[[#This Row],[Point of Origin]],Table2[#All],3,0)</f>
        <v>Domestic</v>
      </c>
      <c r="F307" s="27" t="s">
        <v>36</v>
      </c>
      <c r="G307" s="21" t="s">
        <v>57</v>
      </c>
      <c r="H307" s="22">
        <v>10</v>
      </c>
      <c r="I307" s="22">
        <f>Table1[[#This Row],[Total Weight Imported (lbs)]]*0.453592</f>
        <v>4.53592</v>
      </c>
      <c r="J307" s="23">
        <v>51</v>
      </c>
      <c r="K307" s="38"/>
    </row>
    <row r="308" spans="1:11" ht="15.75" customHeight="1">
      <c r="A308" s="27" t="s">
        <v>156</v>
      </c>
      <c r="B308" s="27" t="s">
        <v>28</v>
      </c>
      <c r="C308" s="27" t="s">
        <v>14</v>
      </c>
      <c r="D308" s="20" t="str">
        <f>VLOOKUP(Table1[[#This Row],[Point of Origin]],Table2[#All],2,0)</f>
        <v>USA</v>
      </c>
      <c r="E308" s="20" t="str">
        <f>VLOOKUP(Table1[[#This Row],[Point of Origin]],Table2[#All],3,0)</f>
        <v>Domestic</v>
      </c>
      <c r="F308" s="27" t="s">
        <v>36</v>
      </c>
      <c r="G308" s="21" t="s">
        <v>57</v>
      </c>
      <c r="H308" s="22">
        <v>72</v>
      </c>
      <c r="I308" s="22">
        <f>Table1[[#This Row],[Total Weight Imported (lbs)]]*0.453592</f>
        <v>32.658624000000003</v>
      </c>
      <c r="J308" s="23">
        <v>258</v>
      </c>
      <c r="K308" s="38"/>
    </row>
    <row r="309" spans="1:11" ht="15.75" customHeight="1">
      <c r="A309" s="27" t="s">
        <v>156</v>
      </c>
      <c r="B309" s="27" t="s">
        <v>28</v>
      </c>
      <c r="C309" s="27" t="s">
        <v>14</v>
      </c>
      <c r="D309" s="20" t="str">
        <f>VLOOKUP(Table1[[#This Row],[Point of Origin]],Table2[#All],2,0)</f>
        <v>USA</v>
      </c>
      <c r="E309" s="20" t="str">
        <f>VLOOKUP(Table1[[#This Row],[Point of Origin]],Table2[#All],3,0)</f>
        <v>Domestic</v>
      </c>
      <c r="F309" s="27" t="s">
        <v>76</v>
      </c>
      <c r="G309" s="21" t="s">
        <v>77</v>
      </c>
      <c r="H309" s="22">
        <v>375</v>
      </c>
      <c r="I309" s="22">
        <f>Table1[[#This Row],[Total Weight Imported (lbs)]]*0.453592</f>
        <v>170.09700000000001</v>
      </c>
      <c r="J309" s="23">
        <v>577.5</v>
      </c>
      <c r="K309" s="37"/>
    </row>
    <row r="310" spans="1:11" ht="15.75" customHeight="1">
      <c r="A310" s="27" t="s">
        <v>156</v>
      </c>
      <c r="B310" s="27" t="s">
        <v>28</v>
      </c>
      <c r="C310" s="27" t="s">
        <v>14</v>
      </c>
      <c r="D310" s="20" t="str">
        <f>VLOOKUP(Table1[[#This Row],[Point of Origin]],Table2[#All],2,0)</f>
        <v>USA</v>
      </c>
      <c r="E310" s="20" t="str">
        <f>VLOOKUP(Table1[[#This Row],[Point of Origin]],Table2[#All],3,0)</f>
        <v>Domestic</v>
      </c>
      <c r="F310" s="27" t="s">
        <v>76</v>
      </c>
      <c r="G310" s="21" t="s">
        <v>77</v>
      </c>
      <c r="H310" s="22">
        <v>750</v>
      </c>
      <c r="I310" s="22">
        <f>Table1[[#This Row],[Total Weight Imported (lbs)]]*0.453592</f>
        <v>340.19400000000002</v>
      </c>
      <c r="J310" s="23">
        <v>472.5</v>
      </c>
      <c r="K310" s="37"/>
    </row>
    <row r="311" spans="1:11" ht="15.75" customHeight="1">
      <c r="A311" s="27" t="s">
        <v>156</v>
      </c>
      <c r="B311" s="27" t="s">
        <v>28</v>
      </c>
      <c r="C311" s="27" t="s">
        <v>14</v>
      </c>
      <c r="D311" s="20" t="str">
        <f>VLOOKUP(Table1[[#This Row],[Point of Origin]],Table2[#All],2,0)</f>
        <v>USA</v>
      </c>
      <c r="E311" s="20" t="str">
        <f>VLOOKUP(Table1[[#This Row],[Point of Origin]],Table2[#All],3,0)</f>
        <v>Domestic</v>
      </c>
      <c r="F311" s="27" t="s">
        <v>43</v>
      </c>
      <c r="G311" s="21" t="s">
        <v>44</v>
      </c>
      <c r="H311" s="22">
        <v>80</v>
      </c>
      <c r="I311" s="22">
        <f>Table1[[#This Row],[Total Weight Imported (lbs)]]*0.453592</f>
        <v>36.28736</v>
      </c>
      <c r="J311" s="23">
        <v>115</v>
      </c>
      <c r="K311" s="38"/>
    </row>
    <row r="312" spans="1:11" ht="15.75" customHeight="1">
      <c r="A312" s="27" t="s">
        <v>156</v>
      </c>
      <c r="B312" s="27" t="s">
        <v>28</v>
      </c>
      <c r="C312" s="27" t="s">
        <v>14</v>
      </c>
      <c r="D312" s="20" t="str">
        <f>VLOOKUP(Table1[[#This Row],[Point of Origin]],Table2[#All],2,0)</f>
        <v>USA</v>
      </c>
      <c r="E312" s="20" t="str">
        <f>VLOOKUP(Table1[[#This Row],[Point of Origin]],Table2[#All],3,0)</f>
        <v>Domestic</v>
      </c>
      <c r="F312" s="27" t="s">
        <v>159</v>
      </c>
      <c r="G312" s="21" t="s">
        <v>160</v>
      </c>
      <c r="H312" s="22">
        <v>125</v>
      </c>
      <c r="I312" s="22">
        <f>Table1[[#This Row],[Total Weight Imported (lbs)]]*0.453592</f>
        <v>56.698999999999998</v>
      </c>
      <c r="J312" s="23">
        <v>147.5</v>
      </c>
      <c r="K312" s="37"/>
    </row>
    <row r="313" spans="1:11" ht="15.75" customHeight="1">
      <c r="A313" s="27" t="s">
        <v>156</v>
      </c>
      <c r="B313" s="27" t="s">
        <v>28</v>
      </c>
      <c r="C313" s="27" t="s">
        <v>14</v>
      </c>
      <c r="D313" s="20" t="str">
        <f>VLOOKUP(Table1[[#This Row],[Point of Origin]],Table2[#All],2,0)</f>
        <v>USA</v>
      </c>
      <c r="E313" s="20" t="str">
        <f>VLOOKUP(Table1[[#This Row],[Point of Origin]],Table2[#All],3,0)</f>
        <v>Domestic</v>
      </c>
      <c r="F313" s="27" t="s">
        <v>141</v>
      </c>
      <c r="G313" s="21" t="s">
        <v>142</v>
      </c>
      <c r="H313" s="22">
        <v>750</v>
      </c>
      <c r="I313" s="22">
        <f>Table1[[#This Row],[Total Weight Imported (lbs)]]*0.453592</f>
        <v>340.19400000000002</v>
      </c>
      <c r="J313" s="23">
        <v>352.5</v>
      </c>
      <c r="K313" s="38"/>
    </row>
    <row r="314" spans="1:11" ht="15.75" customHeight="1">
      <c r="A314" s="27" t="s">
        <v>156</v>
      </c>
      <c r="B314" s="27" t="s">
        <v>28</v>
      </c>
      <c r="C314" s="27" t="s">
        <v>14</v>
      </c>
      <c r="D314" s="20" t="str">
        <f>VLOOKUP(Table1[[#This Row],[Point of Origin]],Table2[#All],2,0)</f>
        <v>USA</v>
      </c>
      <c r="E314" s="20" t="str">
        <f>VLOOKUP(Table1[[#This Row],[Point of Origin]],Table2[#All],3,0)</f>
        <v>Domestic</v>
      </c>
      <c r="F314" s="27" t="s">
        <v>141</v>
      </c>
      <c r="G314" s="21" t="s">
        <v>142</v>
      </c>
      <c r="H314" s="22">
        <v>100</v>
      </c>
      <c r="I314" s="22">
        <f>Table1[[#This Row],[Total Weight Imported (lbs)]]*0.453592</f>
        <v>45.359200000000001</v>
      </c>
      <c r="J314" s="23">
        <v>84.5</v>
      </c>
      <c r="K314" s="38"/>
    </row>
    <row r="315" spans="1:11" ht="15.75" customHeight="1">
      <c r="A315" s="27" t="s">
        <v>156</v>
      </c>
      <c r="B315" s="27" t="s">
        <v>28</v>
      </c>
      <c r="C315" s="27" t="s">
        <v>14</v>
      </c>
      <c r="D315" s="20" t="str">
        <f>VLOOKUP(Table1[[#This Row],[Point of Origin]],Table2[#All],2,0)</f>
        <v>USA</v>
      </c>
      <c r="E315" s="20" t="str">
        <f>VLOOKUP(Table1[[#This Row],[Point of Origin]],Table2[#All],3,0)</f>
        <v>Domestic</v>
      </c>
      <c r="F315" s="20" t="s">
        <v>50</v>
      </c>
      <c r="G315" s="21" t="s">
        <v>51</v>
      </c>
      <c r="H315" s="22">
        <v>277.5</v>
      </c>
      <c r="I315" s="22">
        <f>Table1[[#This Row],[Total Weight Imported (lbs)]]*0.453592</f>
        <v>125.87178</v>
      </c>
      <c r="J315" s="23">
        <v>693.75</v>
      </c>
      <c r="K315" s="38"/>
    </row>
    <row r="316" spans="1:11" ht="15.75" customHeight="1">
      <c r="A316" s="27" t="s">
        <v>156</v>
      </c>
      <c r="B316" s="27" t="s">
        <v>28</v>
      </c>
      <c r="C316" s="27" t="s">
        <v>14</v>
      </c>
      <c r="D316" s="20" t="str">
        <f>VLOOKUP(Table1[[#This Row],[Point of Origin]],Table2[#All],2,0)</f>
        <v>USA</v>
      </c>
      <c r="E316" s="20" t="str">
        <f>VLOOKUP(Table1[[#This Row],[Point of Origin]],Table2[#All],3,0)</f>
        <v>Domestic</v>
      </c>
      <c r="F316" s="27" t="s">
        <v>63</v>
      </c>
      <c r="G316" s="21" t="s">
        <v>64</v>
      </c>
      <c r="H316" s="22">
        <v>25</v>
      </c>
      <c r="I316" s="22">
        <f>Table1[[#This Row],[Total Weight Imported (lbs)]]*0.453592</f>
        <v>11.3398</v>
      </c>
      <c r="J316" s="23">
        <v>34.5</v>
      </c>
      <c r="K316" s="37"/>
    </row>
    <row r="317" spans="1:11" ht="15.75" customHeight="1">
      <c r="A317" s="27" t="s">
        <v>156</v>
      </c>
      <c r="B317" s="27" t="s">
        <v>28</v>
      </c>
      <c r="C317" s="27" t="s">
        <v>14</v>
      </c>
      <c r="D317" s="20" t="str">
        <f>VLOOKUP(Table1[[#This Row],[Point of Origin]],Table2[#All],2,0)</f>
        <v>USA</v>
      </c>
      <c r="E317" s="20" t="str">
        <f>VLOOKUP(Table1[[#This Row],[Point of Origin]],Table2[#All],3,0)</f>
        <v>Domestic</v>
      </c>
      <c r="F317" s="27" t="s">
        <v>38</v>
      </c>
      <c r="G317" s="21" t="s">
        <v>39</v>
      </c>
      <c r="H317" s="22">
        <v>374</v>
      </c>
      <c r="I317" s="22">
        <f>Table1[[#This Row],[Total Weight Imported (lbs)]]*0.453592</f>
        <v>169.64340799999999</v>
      </c>
      <c r="J317" s="23">
        <v>1020</v>
      </c>
      <c r="K317" s="38"/>
    </row>
    <row r="318" spans="1:11" ht="15.75" customHeight="1">
      <c r="A318" s="27" t="s">
        <v>156</v>
      </c>
      <c r="B318" s="27" t="s">
        <v>28</v>
      </c>
      <c r="C318" s="27" t="s">
        <v>14</v>
      </c>
      <c r="D318" s="20" t="str">
        <f>VLOOKUP(Table1[[#This Row],[Point of Origin]],Table2[#All],2,0)</f>
        <v>USA</v>
      </c>
      <c r="E318" s="20" t="str">
        <f>VLOOKUP(Table1[[#This Row],[Point of Origin]],Table2[#All],3,0)</f>
        <v>Domestic</v>
      </c>
      <c r="F318" s="27" t="s">
        <v>38</v>
      </c>
      <c r="G318" s="21" t="s">
        <v>39</v>
      </c>
      <c r="H318" s="22">
        <v>75</v>
      </c>
      <c r="I318" s="22">
        <f>Table1[[#This Row],[Total Weight Imported (lbs)]]*0.453592</f>
        <v>34.019399999999997</v>
      </c>
      <c r="J318" s="23">
        <v>115.5</v>
      </c>
      <c r="K318" s="38"/>
    </row>
    <row r="319" spans="1:11" ht="15.75" customHeight="1">
      <c r="A319" s="27" t="s">
        <v>156</v>
      </c>
      <c r="B319" s="27" t="s">
        <v>28</v>
      </c>
      <c r="C319" s="27" t="s">
        <v>14</v>
      </c>
      <c r="D319" s="20" t="str">
        <f>VLOOKUP(Table1[[#This Row],[Point of Origin]],Table2[#All],2,0)</f>
        <v>USA</v>
      </c>
      <c r="E319" s="20" t="str">
        <f>VLOOKUP(Table1[[#This Row],[Point of Origin]],Table2[#All],3,0)</f>
        <v>Domestic</v>
      </c>
      <c r="F319" s="27" t="s">
        <v>161</v>
      </c>
      <c r="G319" s="21" t="s">
        <v>162</v>
      </c>
      <c r="H319" s="22">
        <v>130</v>
      </c>
      <c r="I319" s="22">
        <f>Table1[[#This Row],[Total Weight Imported (lbs)]]*0.453592</f>
        <v>58.96696</v>
      </c>
      <c r="J319" s="23">
        <v>91</v>
      </c>
      <c r="K319" s="38"/>
    </row>
    <row r="320" spans="1:11" ht="15.75" customHeight="1">
      <c r="A320" s="27" t="s">
        <v>156</v>
      </c>
      <c r="B320" s="27" t="s">
        <v>28</v>
      </c>
      <c r="C320" s="27" t="s">
        <v>14</v>
      </c>
      <c r="D320" s="20" t="str">
        <f>VLOOKUP(Table1[[#This Row],[Point of Origin]],Table2[#All],2,0)</f>
        <v>USA</v>
      </c>
      <c r="E320" s="20" t="str">
        <f>VLOOKUP(Table1[[#This Row],[Point of Origin]],Table2[#All],3,0)</f>
        <v>Domestic</v>
      </c>
      <c r="F320" s="27" t="s">
        <v>135</v>
      </c>
      <c r="G320" s="21" t="s">
        <v>136</v>
      </c>
      <c r="H320" s="22">
        <v>400</v>
      </c>
      <c r="I320" s="22">
        <f>Table1[[#This Row],[Total Weight Imported (lbs)]]*0.453592</f>
        <v>181.43680000000001</v>
      </c>
      <c r="J320" s="23">
        <v>575</v>
      </c>
      <c r="K320" s="38"/>
    </row>
    <row r="321" spans="1:11" ht="15.75" customHeight="1">
      <c r="A321" s="27" t="s">
        <v>156</v>
      </c>
      <c r="B321" s="27" t="s">
        <v>28</v>
      </c>
      <c r="C321" s="27" t="s">
        <v>14</v>
      </c>
      <c r="D321" s="20" t="str">
        <f>VLOOKUP(Table1[[#This Row],[Point of Origin]],Table2[#All],2,0)</f>
        <v>USA</v>
      </c>
      <c r="E321" s="20" t="str">
        <f>VLOOKUP(Table1[[#This Row],[Point of Origin]],Table2[#All],3,0)</f>
        <v>Domestic</v>
      </c>
      <c r="F321" s="27" t="s">
        <v>82</v>
      </c>
      <c r="G321" s="21" t="s">
        <v>20</v>
      </c>
      <c r="H321" s="22">
        <v>1125</v>
      </c>
      <c r="I321" s="22">
        <f>Table1[[#This Row],[Total Weight Imported (lbs)]]*0.453592</f>
        <v>510.291</v>
      </c>
      <c r="J321" s="23">
        <v>650</v>
      </c>
      <c r="K321" s="38"/>
    </row>
    <row r="322" spans="1:11" ht="15.75" customHeight="1">
      <c r="A322" s="27" t="s">
        <v>156</v>
      </c>
      <c r="B322" s="27" t="s">
        <v>28</v>
      </c>
      <c r="C322" s="27" t="s">
        <v>14</v>
      </c>
      <c r="D322" s="20" t="str">
        <f>VLOOKUP(Table1[[#This Row],[Point of Origin]],Table2[#All],2,0)</f>
        <v>USA</v>
      </c>
      <c r="E322" s="20" t="str">
        <f>VLOOKUP(Table1[[#This Row],[Point of Origin]],Table2[#All],3,0)</f>
        <v>Domestic</v>
      </c>
      <c r="F322" s="27" t="s">
        <v>82</v>
      </c>
      <c r="G322" s="21" t="s">
        <v>20</v>
      </c>
      <c r="H322" s="22">
        <v>3000</v>
      </c>
      <c r="I322" s="22">
        <f>Table1[[#This Row],[Total Weight Imported (lbs)]]*0.453592</f>
        <v>1360.7760000000001</v>
      </c>
      <c r="J322" s="23">
        <v>1080</v>
      </c>
      <c r="K322" s="38"/>
    </row>
    <row r="323" spans="1:11" ht="15.75" customHeight="1">
      <c r="A323" s="27" t="s">
        <v>156</v>
      </c>
      <c r="B323" s="27" t="s">
        <v>28</v>
      </c>
      <c r="C323" s="27" t="s">
        <v>14</v>
      </c>
      <c r="D323" s="20" t="str">
        <f>VLOOKUP(Table1[[#This Row],[Point of Origin]],Table2[#All],2,0)</f>
        <v>USA</v>
      </c>
      <c r="E323" s="20" t="str">
        <f>VLOOKUP(Table1[[#This Row],[Point of Origin]],Table2[#All],3,0)</f>
        <v>Domestic</v>
      </c>
      <c r="F323" s="27" t="s">
        <v>40</v>
      </c>
      <c r="G323" s="21" t="s">
        <v>41</v>
      </c>
      <c r="H323" s="22">
        <v>100</v>
      </c>
      <c r="I323" s="22">
        <f>Table1[[#This Row],[Total Weight Imported (lbs)]]*0.453592</f>
        <v>45.359200000000001</v>
      </c>
      <c r="J323" s="23">
        <v>60</v>
      </c>
      <c r="K323" s="38"/>
    </row>
    <row r="324" spans="1:11" ht="15.75" customHeight="1">
      <c r="A324" s="27" t="s">
        <v>156</v>
      </c>
      <c r="B324" s="27" t="s">
        <v>28</v>
      </c>
      <c r="C324" s="27" t="s">
        <v>14</v>
      </c>
      <c r="D324" s="20" t="str">
        <f>VLOOKUP(Table1[[#This Row],[Point of Origin]],Table2[#All],2,0)</f>
        <v>USA</v>
      </c>
      <c r="E324" s="20" t="str">
        <f>VLOOKUP(Table1[[#This Row],[Point of Origin]],Table2[#All],3,0)</f>
        <v>Domestic</v>
      </c>
      <c r="F324" s="20" t="s">
        <v>54</v>
      </c>
      <c r="G324" s="21" t="s">
        <v>30</v>
      </c>
      <c r="H324" s="22">
        <v>200</v>
      </c>
      <c r="I324" s="22">
        <f>Table1[[#This Row],[Total Weight Imported (lbs)]]*0.453592</f>
        <v>90.718400000000003</v>
      </c>
      <c r="J324" s="23">
        <v>70</v>
      </c>
      <c r="K324" s="38"/>
    </row>
    <row r="325" spans="1:11" ht="15.75" customHeight="1">
      <c r="A325" s="27" t="s">
        <v>156</v>
      </c>
      <c r="B325" s="27" t="s">
        <v>28</v>
      </c>
      <c r="C325" s="27" t="s">
        <v>14</v>
      </c>
      <c r="D325" s="20" t="str">
        <f>VLOOKUP(Table1[[#This Row],[Point of Origin]],Table2[#All],2,0)</f>
        <v>USA</v>
      </c>
      <c r="E325" s="20" t="str">
        <f>VLOOKUP(Table1[[#This Row],[Point of Origin]],Table2[#All],3,0)</f>
        <v>Domestic</v>
      </c>
      <c r="F325" s="27" t="s">
        <v>148</v>
      </c>
      <c r="G325" s="21" t="s">
        <v>20</v>
      </c>
      <c r="H325" s="22">
        <v>360</v>
      </c>
      <c r="I325" s="22">
        <f>Table1[[#This Row],[Total Weight Imported (lbs)]]*0.453592</f>
        <v>163.29311999999999</v>
      </c>
      <c r="J325" s="23">
        <v>336</v>
      </c>
      <c r="K325" s="37"/>
    </row>
    <row r="326" spans="1:11" ht="15.75" customHeight="1">
      <c r="A326" s="27" t="s">
        <v>156</v>
      </c>
      <c r="B326" s="27" t="s">
        <v>28</v>
      </c>
      <c r="C326" s="27" t="s">
        <v>14</v>
      </c>
      <c r="D326" s="20" t="str">
        <f>VLOOKUP(Table1[[#This Row],[Point of Origin]],Table2[#All],2,0)</f>
        <v>USA</v>
      </c>
      <c r="E326" s="20" t="str">
        <f>VLOOKUP(Table1[[#This Row],[Point of Origin]],Table2[#All],3,0)</f>
        <v>Domestic</v>
      </c>
      <c r="F326" s="27" t="s">
        <v>163</v>
      </c>
      <c r="G326" s="21" t="s">
        <v>164</v>
      </c>
      <c r="H326" s="22">
        <v>210</v>
      </c>
      <c r="I326" s="22">
        <f>Table1[[#This Row],[Total Weight Imported (lbs)]]*0.453592</f>
        <v>95.254319999999993</v>
      </c>
      <c r="J326" s="23">
        <v>224</v>
      </c>
      <c r="K326" s="37"/>
    </row>
    <row r="327" spans="1:11" ht="15.75" customHeight="1">
      <c r="A327" s="27" t="s">
        <v>156</v>
      </c>
      <c r="B327" s="27" t="s">
        <v>28</v>
      </c>
      <c r="C327" s="27" t="s">
        <v>14</v>
      </c>
      <c r="D327" s="20" t="str">
        <f>VLOOKUP(Table1[[#This Row],[Point of Origin]],Table2[#All],2,0)</f>
        <v>USA</v>
      </c>
      <c r="E327" s="20" t="str">
        <f>VLOOKUP(Table1[[#This Row],[Point of Origin]],Table2[#All],3,0)</f>
        <v>Domestic</v>
      </c>
      <c r="F327" s="27" t="s">
        <v>58</v>
      </c>
      <c r="G327" s="21" t="s">
        <v>34</v>
      </c>
      <c r="H327" s="22">
        <v>980</v>
      </c>
      <c r="I327" s="22">
        <f>Table1[[#This Row],[Total Weight Imported (lbs)]]*0.453592</f>
        <v>444.52015999999998</v>
      </c>
      <c r="J327" s="23">
        <v>1120</v>
      </c>
      <c r="K327" s="38"/>
    </row>
    <row r="328" spans="1:11" ht="15.75" customHeight="1">
      <c r="A328" s="27" t="s">
        <v>156</v>
      </c>
      <c r="B328" s="27" t="s">
        <v>28</v>
      </c>
      <c r="C328" s="27" t="s">
        <v>14</v>
      </c>
      <c r="D328" s="20" t="str">
        <f>VLOOKUP(Table1[[#This Row],[Point of Origin]],Table2[#All],2,0)</f>
        <v>USA</v>
      </c>
      <c r="E328" s="20" t="str">
        <f>VLOOKUP(Table1[[#This Row],[Point of Origin]],Table2[#All],3,0)</f>
        <v>Domestic</v>
      </c>
      <c r="F328" s="27" t="s">
        <v>121</v>
      </c>
      <c r="G328" s="21" t="s">
        <v>122</v>
      </c>
      <c r="H328" s="22">
        <v>84</v>
      </c>
      <c r="I328" s="22">
        <f>Table1[[#This Row],[Total Weight Imported (lbs)]]*0.453592</f>
        <v>38.101728000000001</v>
      </c>
      <c r="J328" s="23">
        <v>130.5</v>
      </c>
      <c r="K328" s="37"/>
    </row>
    <row r="329" spans="1:11" ht="15.75" customHeight="1">
      <c r="A329" s="27" t="s">
        <v>156</v>
      </c>
      <c r="B329" s="27" t="s">
        <v>28</v>
      </c>
      <c r="C329" s="27" t="s">
        <v>14</v>
      </c>
      <c r="D329" s="20" t="str">
        <f>VLOOKUP(Table1[[#This Row],[Point of Origin]],Table2[#All],2,0)</f>
        <v>USA</v>
      </c>
      <c r="E329" s="20" t="str">
        <f>VLOOKUP(Table1[[#This Row],[Point of Origin]],Table2[#All],3,0)</f>
        <v>Domestic</v>
      </c>
      <c r="F329" s="27" t="s">
        <v>121</v>
      </c>
      <c r="G329" s="21" t="s">
        <v>122</v>
      </c>
      <c r="H329" s="22">
        <v>36</v>
      </c>
      <c r="I329" s="22">
        <f>Table1[[#This Row],[Total Weight Imported (lbs)]]*0.453592</f>
        <v>16.329312000000002</v>
      </c>
      <c r="J329" s="23">
        <v>33.5</v>
      </c>
      <c r="K329" s="37"/>
    </row>
    <row r="330" spans="1:11" ht="15.75" customHeight="1">
      <c r="A330" s="27" t="s">
        <v>156</v>
      </c>
      <c r="B330" s="27" t="s">
        <v>28</v>
      </c>
      <c r="C330" s="27" t="s">
        <v>14</v>
      </c>
      <c r="D330" s="20" t="str">
        <f>VLOOKUP(Table1[[#This Row],[Point of Origin]],Table2[#All],2,0)</f>
        <v>USA</v>
      </c>
      <c r="E330" s="20" t="str">
        <f>VLOOKUP(Table1[[#This Row],[Point of Origin]],Table2[#All],3,0)</f>
        <v>Domestic</v>
      </c>
      <c r="F330" s="27" t="s">
        <v>121</v>
      </c>
      <c r="G330" s="21" t="s">
        <v>122</v>
      </c>
      <c r="H330" s="22">
        <v>400</v>
      </c>
      <c r="I330" s="22">
        <f>Table1[[#This Row],[Total Weight Imported (lbs)]]*0.453592</f>
        <v>181.43680000000001</v>
      </c>
      <c r="J330" s="23">
        <v>575</v>
      </c>
      <c r="K330" s="37"/>
    </row>
    <row r="331" spans="1:11" ht="15.75" customHeight="1">
      <c r="A331" s="27" t="s">
        <v>156</v>
      </c>
      <c r="B331" s="27" t="s">
        <v>28</v>
      </c>
      <c r="C331" s="27" t="s">
        <v>14</v>
      </c>
      <c r="D331" s="20" t="str">
        <f>VLOOKUP(Table1[[#This Row],[Point of Origin]],Table2[#All],2,0)</f>
        <v>USA</v>
      </c>
      <c r="E331" s="20" t="str">
        <f>VLOOKUP(Table1[[#This Row],[Point of Origin]],Table2[#All],3,0)</f>
        <v>Domestic</v>
      </c>
      <c r="F331" s="27" t="s">
        <v>121</v>
      </c>
      <c r="G331" s="21" t="s">
        <v>122</v>
      </c>
      <c r="H331" s="22">
        <v>40</v>
      </c>
      <c r="I331" s="22">
        <f>Table1[[#This Row],[Total Weight Imported (lbs)]]*0.453592</f>
        <v>18.14368</v>
      </c>
      <c r="J331" s="23">
        <v>38</v>
      </c>
      <c r="K331" s="37"/>
    </row>
    <row r="332" spans="1:11" ht="15.75" customHeight="1">
      <c r="A332" s="27" t="s">
        <v>156</v>
      </c>
      <c r="B332" s="27" t="s">
        <v>28</v>
      </c>
      <c r="C332" s="27" t="s">
        <v>14</v>
      </c>
      <c r="D332" s="20" t="str">
        <f>VLOOKUP(Table1[[#This Row],[Point of Origin]],Table2[#All],2,0)</f>
        <v>USA</v>
      </c>
      <c r="E332" s="20" t="str">
        <f>VLOOKUP(Table1[[#This Row],[Point of Origin]],Table2[#All],3,0)</f>
        <v>Domestic</v>
      </c>
      <c r="F332" s="27" t="s">
        <v>121</v>
      </c>
      <c r="G332" s="21" t="s">
        <v>122</v>
      </c>
      <c r="H332" s="22">
        <v>40</v>
      </c>
      <c r="I332" s="22">
        <f>Table1[[#This Row],[Total Weight Imported (lbs)]]*0.453592</f>
        <v>18.14368</v>
      </c>
      <c r="J332" s="23">
        <v>36.5</v>
      </c>
      <c r="K332" s="37"/>
    </row>
    <row r="333" spans="1:11" ht="15.75" customHeight="1">
      <c r="A333" s="27" t="s">
        <v>156</v>
      </c>
      <c r="B333" s="27" t="s">
        <v>28</v>
      </c>
      <c r="C333" s="27" t="s">
        <v>14</v>
      </c>
      <c r="D333" s="20" t="str">
        <f>VLOOKUP(Table1[[#This Row],[Point of Origin]],Table2[#All],2,0)</f>
        <v>USA</v>
      </c>
      <c r="E333" s="20" t="str">
        <f>VLOOKUP(Table1[[#This Row],[Point of Origin]],Table2[#All],3,0)</f>
        <v>Domestic</v>
      </c>
      <c r="F333" s="27" t="s">
        <v>15</v>
      </c>
      <c r="G333" s="21" t="s">
        <v>16</v>
      </c>
      <c r="H333" s="22">
        <v>22</v>
      </c>
      <c r="I333" s="22">
        <f>Table1[[#This Row],[Total Weight Imported (lbs)]]*0.453592</f>
        <v>9.979023999999999</v>
      </c>
      <c r="J333" s="23">
        <v>107.5</v>
      </c>
      <c r="K333" s="38"/>
    </row>
    <row r="334" spans="1:11" ht="15.75" customHeight="1">
      <c r="A334" s="27" t="s">
        <v>156</v>
      </c>
      <c r="B334" s="27" t="s">
        <v>28</v>
      </c>
      <c r="C334" s="27" t="s">
        <v>14</v>
      </c>
      <c r="D334" s="20" t="str">
        <f>VLOOKUP(Table1[[#This Row],[Point of Origin]],Table2[#All],2,0)</f>
        <v>USA</v>
      </c>
      <c r="E334" s="20" t="str">
        <f>VLOOKUP(Table1[[#This Row],[Point of Origin]],Table2[#All],3,0)</f>
        <v>Domestic</v>
      </c>
      <c r="F334" s="27" t="s">
        <v>67</v>
      </c>
      <c r="G334" s="21" t="s">
        <v>68</v>
      </c>
      <c r="H334" s="22">
        <v>96</v>
      </c>
      <c r="I334" s="22">
        <f>Table1[[#This Row],[Total Weight Imported (lbs)]]*0.453592</f>
        <v>43.544832</v>
      </c>
      <c r="J334" s="23">
        <v>270</v>
      </c>
      <c r="K334" s="38"/>
    </row>
    <row r="335" spans="1:11" ht="15.75" customHeight="1">
      <c r="A335" s="27" t="s">
        <v>156</v>
      </c>
      <c r="B335" s="27" t="s">
        <v>28</v>
      </c>
      <c r="C335" s="27" t="s">
        <v>14</v>
      </c>
      <c r="D335" s="20" t="str">
        <f>VLOOKUP(Table1[[#This Row],[Point of Origin]],Table2[#All],2,0)</f>
        <v>USA</v>
      </c>
      <c r="E335" s="20" t="str">
        <f>VLOOKUP(Table1[[#This Row],[Point of Origin]],Table2[#All],3,0)</f>
        <v>Domestic</v>
      </c>
      <c r="F335" s="20" t="s">
        <v>81</v>
      </c>
      <c r="G335" s="21" t="s">
        <v>62</v>
      </c>
      <c r="H335" s="22">
        <v>175</v>
      </c>
      <c r="I335" s="22">
        <f>Table1[[#This Row],[Total Weight Imported (lbs)]]*0.453592</f>
        <v>79.378600000000006</v>
      </c>
      <c r="J335" s="23">
        <v>309.75</v>
      </c>
      <c r="K335" s="38"/>
    </row>
    <row r="336" spans="1:11" ht="15.75" customHeight="1">
      <c r="A336" s="27" t="s">
        <v>156</v>
      </c>
      <c r="B336" s="27" t="s">
        <v>28</v>
      </c>
      <c r="C336" s="27" t="s">
        <v>14</v>
      </c>
      <c r="D336" s="20" t="str">
        <f>VLOOKUP(Table1[[#This Row],[Point of Origin]],Table2[#All],2,0)</f>
        <v>USA</v>
      </c>
      <c r="E336" s="20" t="str">
        <f>VLOOKUP(Table1[[#This Row],[Point of Origin]],Table2[#All],3,0)</f>
        <v>Domestic</v>
      </c>
      <c r="F336" s="20" t="s">
        <v>81</v>
      </c>
      <c r="G336" s="21" t="s">
        <v>62</v>
      </c>
      <c r="H336" s="22">
        <v>150</v>
      </c>
      <c r="I336" s="22">
        <f>Table1[[#This Row],[Total Weight Imported (lbs)]]*0.453592</f>
        <v>68.038799999999995</v>
      </c>
      <c r="J336" s="23">
        <v>339</v>
      </c>
      <c r="K336" s="38"/>
    </row>
    <row r="337" spans="1:11" ht="15.75" customHeight="1">
      <c r="A337" s="27" t="s">
        <v>156</v>
      </c>
      <c r="B337" s="27" t="s">
        <v>28</v>
      </c>
      <c r="C337" s="27" t="s">
        <v>14</v>
      </c>
      <c r="D337" s="20" t="str">
        <f>VLOOKUP(Table1[[#This Row],[Point of Origin]],Table2[#All],2,0)</f>
        <v>USA</v>
      </c>
      <c r="E337" s="20" t="str">
        <f>VLOOKUP(Table1[[#This Row],[Point of Origin]],Table2[#All],3,0)</f>
        <v>Domestic</v>
      </c>
      <c r="F337" s="20" t="s">
        <v>81</v>
      </c>
      <c r="G337" s="21" t="s">
        <v>62</v>
      </c>
      <c r="H337" s="22">
        <v>75</v>
      </c>
      <c r="I337" s="22">
        <f>Table1[[#This Row],[Total Weight Imported (lbs)]]*0.453592</f>
        <v>34.019399999999997</v>
      </c>
      <c r="J337" s="23">
        <v>187.5</v>
      </c>
      <c r="K337" s="38"/>
    </row>
    <row r="338" spans="1:11" ht="15.75" customHeight="1">
      <c r="A338" s="27" t="s">
        <v>156</v>
      </c>
      <c r="B338" s="27" t="s">
        <v>28</v>
      </c>
      <c r="C338" s="27" t="s">
        <v>14</v>
      </c>
      <c r="D338" s="20" t="str">
        <f>VLOOKUP(Table1[[#This Row],[Point of Origin]],Table2[#All],2,0)</f>
        <v>USA</v>
      </c>
      <c r="E338" s="20" t="str">
        <f>VLOOKUP(Table1[[#This Row],[Point of Origin]],Table2[#All],3,0)</f>
        <v>Domestic</v>
      </c>
      <c r="F338" s="27" t="s">
        <v>90</v>
      </c>
      <c r="G338" s="21" t="s">
        <v>70</v>
      </c>
      <c r="H338" s="22">
        <v>45</v>
      </c>
      <c r="I338" s="22">
        <f>Table1[[#This Row],[Total Weight Imported (lbs)]]*0.453592</f>
        <v>20.411639999999998</v>
      </c>
      <c r="J338" s="23">
        <v>537.5</v>
      </c>
      <c r="K338" s="37"/>
    </row>
    <row r="339" spans="1:11" ht="15.75" customHeight="1">
      <c r="A339" s="27" t="s">
        <v>156</v>
      </c>
      <c r="B339" s="27" t="s">
        <v>28</v>
      </c>
      <c r="C339" s="27" t="s">
        <v>14</v>
      </c>
      <c r="D339" s="20" t="str">
        <f>VLOOKUP(Table1[[#This Row],[Point of Origin]],Table2[#All],2,0)</f>
        <v>USA</v>
      </c>
      <c r="E339" s="20" t="str">
        <f>VLOOKUP(Table1[[#This Row],[Point of Origin]],Table2[#All],3,0)</f>
        <v>Domestic</v>
      </c>
      <c r="F339" s="27" t="s">
        <v>90</v>
      </c>
      <c r="G339" s="21" t="s">
        <v>70</v>
      </c>
      <c r="H339" s="22">
        <v>9</v>
      </c>
      <c r="I339" s="22">
        <f>Table1[[#This Row],[Total Weight Imported (lbs)]]*0.453592</f>
        <v>4.0823280000000004</v>
      </c>
      <c r="J339" s="23">
        <v>97</v>
      </c>
      <c r="K339" s="37"/>
    </row>
    <row r="340" spans="1:11" ht="15.75" customHeight="1">
      <c r="A340" s="27" t="s">
        <v>156</v>
      </c>
      <c r="B340" s="27" t="s">
        <v>28</v>
      </c>
      <c r="C340" s="27" t="s">
        <v>14</v>
      </c>
      <c r="D340" s="20" t="str">
        <f>VLOOKUP(Table1[[#This Row],[Point of Origin]],Table2[#All],2,0)</f>
        <v>USA</v>
      </c>
      <c r="E340" s="20" t="str">
        <f>VLOOKUP(Table1[[#This Row],[Point of Origin]],Table2[#All],3,0)</f>
        <v>Domestic</v>
      </c>
      <c r="F340" s="27" t="s">
        <v>19</v>
      </c>
      <c r="G340" s="21" t="s">
        <v>20</v>
      </c>
      <c r="H340" s="22">
        <v>360</v>
      </c>
      <c r="I340" s="22">
        <f>Table1[[#This Row],[Total Weight Imported (lbs)]]*0.453592</f>
        <v>163.29311999999999</v>
      </c>
      <c r="J340" s="23">
        <v>877.5</v>
      </c>
      <c r="K340" s="38"/>
    </row>
    <row r="341" spans="1:11" ht="15.75" customHeight="1">
      <c r="A341" s="27" t="s">
        <v>156</v>
      </c>
      <c r="B341" s="27" t="s">
        <v>28</v>
      </c>
      <c r="C341" s="27" t="s">
        <v>14</v>
      </c>
      <c r="D341" s="20" t="str">
        <f>VLOOKUP(Table1[[#This Row],[Point of Origin]],Table2[#All],2,0)</f>
        <v>USA</v>
      </c>
      <c r="E341" s="20" t="str">
        <f>VLOOKUP(Table1[[#This Row],[Point of Origin]],Table2[#All],3,0)</f>
        <v>Domestic</v>
      </c>
      <c r="F341" s="27" t="s">
        <v>82</v>
      </c>
      <c r="G341" s="21" t="s">
        <v>20</v>
      </c>
      <c r="H341" s="22">
        <v>45</v>
      </c>
      <c r="I341" s="22">
        <f>Table1[[#This Row],[Total Weight Imported (lbs)]]*0.453592</f>
        <v>20.411639999999998</v>
      </c>
      <c r="J341" s="23">
        <v>35.25</v>
      </c>
      <c r="K341" s="38"/>
    </row>
    <row r="342" spans="1:11" ht="15.75" customHeight="1">
      <c r="A342" s="27" t="s">
        <v>156</v>
      </c>
      <c r="B342" s="27" t="s">
        <v>28</v>
      </c>
      <c r="C342" s="27" t="s">
        <v>14</v>
      </c>
      <c r="D342" s="20" t="str">
        <f>VLOOKUP(Table1[[#This Row],[Point of Origin]],Table2[#All],2,0)</f>
        <v>USA</v>
      </c>
      <c r="E342" s="20" t="str">
        <f>VLOOKUP(Table1[[#This Row],[Point of Origin]],Table2[#All],3,0)</f>
        <v>Domestic</v>
      </c>
      <c r="F342" s="27" t="s">
        <v>157</v>
      </c>
      <c r="G342" s="21" t="s">
        <v>127</v>
      </c>
      <c r="H342" s="22">
        <v>160</v>
      </c>
      <c r="I342" s="22">
        <f>Table1[[#This Row],[Total Weight Imported (lbs)]]*0.453592</f>
        <v>72.574719999999999</v>
      </c>
      <c r="J342" s="23">
        <v>90</v>
      </c>
      <c r="K342" s="38"/>
    </row>
    <row r="343" spans="1:11" ht="15.75" customHeight="1">
      <c r="A343" s="27" t="s">
        <v>156</v>
      </c>
      <c r="B343" s="27" t="s">
        <v>28</v>
      </c>
      <c r="C343" s="27" t="s">
        <v>14</v>
      </c>
      <c r="D343" s="20" t="str">
        <f>VLOOKUP(Table1[[#This Row],[Point of Origin]],Table2[#All],2,0)</f>
        <v>USA</v>
      </c>
      <c r="E343" s="20" t="str">
        <f>VLOOKUP(Table1[[#This Row],[Point of Origin]],Table2[#All],3,0)</f>
        <v>Domestic</v>
      </c>
      <c r="F343" s="27" t="s">
        <v>40</v>
      </c>
      <c r="G343" s="21" t="s">
        <v>41</v>
      </c>
      <c r="H343" s="22">
        <v>30</v>
      </c>
      <c r="I343" s="22">
        <f>Table1[[#This Row],[Total Weight Imported (lbs)]]*0.453592</f>
        <v>13.607759999999999</v>
      </c>
      <c r="J343" s="23">
        <v>27.5</v>
      </c>
      <c r="K343" s="38"/>
    </row>
    <row r="344" spans="1:11" ht="15.75" customHeight="1">
      <c r="A344" s="27" t="s">
        <v>156</v>
      </c>
      <c r="B344" s="27" t="s">
        <v>28</v>
      </c>
      <c r="C344" s="27" t="s">
        <v>14</v>
      </c>
      <c r="D344" s="20" t="str">
        <f>VLOOKUP(Table1[[#This Row],[Point of Origin]],Table2[#All],2,0)</f>
        <v>USA</v>
      </c>
      <c r="E344" s="20" t="str">
        <f>VLOOKUP(Table1[[#This Row],[Point of Origin]],Table2[#All],3,0)</f>
        <v>Domestic</v>
      </c>
      <c r="F344" s="27" t="s">
        <v>40</v>
      </c>
      <c r="G344" s="21" t="s">
        <v>41</v>
      </c>
      <c r="H344" s="22">
        <v>48</v>
      </c>
      <c r="I344" s="22">
        <f>Table1[[#This Row],[Total Weight Imported (lbs)]]*0.453592</f>
        <v>21.772416</v>
      </c>
      <c r="J344" s="23">
        <v>28.25</v>
      </c>
      <c r="K344" s="38"/>
    </row>
    <row r="345" spans="1:11" ht="15.75" customHeight="1">
      <c r="A345" s="27" t="s">
        <v>156</v>
      </c>
      <c r="B345" s="27" t="s">
        <v>28</v>
      </c>
      <c r="C345" s="27" t="s">
        <v>14</v>
      </c>
      <c r="D345" s="20" t="str">
        <f>VLOOKUP(Table1[[#This Row],[Point of Origin]],Table2[#All],2,0)</f>
        <v>USA</v>
      </c>
      <c r="E345" s="20" t="str">
        <f>VLOOKUP(Table1[[#This Row],[Point of Origin]],Table2[#All],3,0)</f>
        <v>Domestic</v>
      </c>
      <c r="F345" s="27" t="s">
        <v>40</v>
      </c>
      <c r="G345" s="21" t="s">
        <v>41</v>
      </c>
      <c r="H345" s="22">
        <v>40</v>
      </c>
      <c r="I345" s="22">
        <f>Table1[[#This Row],[Total Weight Imported (lbs)]]*0.453592</f>
        <v>18.14368</v>
      </c>
      <c r="J345" s="23">
        <v>103.75</v>
      </c>
      <c r="K345" s="38"/>
    </row>
    <row r="346" spans="1:11" ht="15.75" customHeight="1">
      <c r="A346" s="27" t="s">
        <v>156</v>
      </c>
      <c r="B346" s="27" t="s">
        <v>28</v>
      </c>
      <c r="C346" s="27" t="s">
        <v>14</v>
      </c>
      <c r="D346" s="20" t="str">
        <f>VLOOKUP(Table1[[#This Row],[Point of Origin]],Table2[#All],2,0)</f>
        <v>USA</v>
      </c>
      <c r="E346" s="20" t="str">
        <f>VLOOKUP(Table1[[#This Row],[Point of Origin]],Table2[#All],3,0)</f>
        <v>Domestic</v>
      </c>
      <c r="F346" s="27" t="s">
        <v>19</v>
      </c>
      <c r="G346" s="21" t="s">
        <v>20</v>
      </c>
      <c r="H346" s="22">
        <v>26.8</v>
      </c>
      <c r="I346" s="22">
        <f>Table1[[#This Row],[Total Weight Imported (lbs)]]*0.453592</f>
        <v>12.156265599999999</v>
      </c>
      <c r="J346" s="23">
        <v>42.5</v>
      </c>
      <c r="K346" s="38"/>
    </row>
    <row r="347" spans="1:11" ht="15.75" customHeight="1">
      <c r="A347" s="27" t="s">
        <v>156</v>
      </c>
      <c r="B347" s="27" t="s">
        <v>28</v>
      </c>
      <c r="C347" s="27" t="s">
        <v>14</v>
      </c>
      <c r="D347" s="20" t="str">
        <f>VLOOKUP(Table1[[#This Row],[Point of Origin]],Table2[#All],2,0)</f>
        <v>USA</v>
      </c>
      <c r="E347" s="20" t="str">
        <f>VLOOKUP(Table1[[#This Row],[Point of Origin]],Table2[#All],3,0)</f>
        <v>Domestic</v>
      </c>
      <c r="F347" s="27" t="s">
        <v>56</v>
      </c>
      <c r="G347" s="21" t="s">
        <v>57</v>
      </c>
      <c r="H347" s="22">
        <v>89.4</v>
      </c>
      <c r="I347" s="22">
        <f>Table1[[#This Row],[Total Weight Imported (lbs)]]*0.453592</f>
        <v>40.551124800000004</v>
      </c>
      <c r="J347" s="23">
        <v>77</v>
      </c>
      <c r="K347" s="38"/>
    </row>
    <row r="348" spans="1:11" ht="15.75" customHeight="1">
      <c r="A348" s="27" t="s">
        <v>156</v>
      </c>
      <c r="B348" s="27" t="s">
        <v>28</v>
      </c>
      <c r="C348" s="27" t="s">
        <v>14</v>
      </c>
      <c r="D348" s="20" t="str">
        <f>VLOOKUP(Table1[[#This Row],[Point of Origin]],Table2[#All],2,0)</f>
        <v>USA</v>
      </c>
      <c r="E348" s="20" t="str">
        <f>VLOOKUP(Table1[[#This Row],[Point of Origin]],Table2[#All],3,0)</f>
        <v>Domestic</v>
      </c>
      <c r="F348" s="27" t="s">
        <v>56</v>
      </c>
      <c r="G348" s="21" t="s">
        <v>57</v>
      </c>
      <c r="H348" s="22">
        <v>50</v>
      </c>
      <c r="I348" s="22">
        <f>Table1[[#This Row],[Total Weight Imported (lbs)]]*0.453592</f>
        <v>22.679600000000001</v>
      </c>
      <c r="J348" s="23">
        <v>38.5</v>
      </c>
      <c r="K348" s="38"/>
    </row>
    <row r="349" spans="1:11" ht="15.75" customHeight="1">
      <c r="A349" s="27" t="s">
        <v>156</v>
      </c>
      <c r="B349" s="27" t="s">
        <v>28</v>
      </c>
      <c r="C349" s="27" t="s">
        <v>14</v>
      </c>
      <c r="D349" s="20" t="str">
        <f>VLOOKUP(Table1[[#This Row],[Point of Origin]],Table2[#All],2,0)</f>
        <v>USA</v>
      </c>
      <c r="E349" s="20" t="str">
        <f>VLOOKUP(Table1[[#This Row],[Point of Origin]],Table2[#All],3,0)</f>
        <v>Domestic</v>
      </c>
      <c r="F349" s="27" t="s">
        <v>47</v>
      </c>
      <c r="G349" s="21" t="s">
        <v>32</v>
      </c>
      <c r="H349" s="22">
        <v>42</v>
      </c>
      <c r="I349" s="22">
        <f>Table1[[#This Row],[Total Weight Imported (lbs)]]*0.453592</f>
        <v>19.050864000000001</v>
      </c>
      <c r="J349" s="23">
        <v>91.5</v>
      </c>
      <c r="K349" s="38"/>
    </row>
    <row r="350" spans="1:11" ht="15.75" customHeight="1">
      <c r="A350" s="27" t="s">
        <v>156</v>
      </c>
      <c r="B350" s="27" t="s">
        <v>28</v>
      </c>
      <c r="C350" s="27" t="s">
        <v>14</v>
      </c>
      <c r="D350" s="20" t="str">
        <f>VLOOKUP(Table1[[#This Row],[Point of Origin]],Table2[#All],2,0)</f>
        <v>USA</v>
      </c>
      <c r="E350" s="20" t="str">
        <f>VLOOKUP(Table1[[#This Row],[Point of Origin]],Table2[#All],3,0)</f>
        <v>Domestic</v>
      </c>
      <c r="F350" s="27" t="s">
        <v>165</v>
      </c>
      <c r="G350" s="21" t="s">
        <v>166</v>
      </c>
      <c r="H350" s="22">
        <v>11</v>
      </c>
      <c r="I350" s="22">
        <f>Table1[[#This Row],[Total Weight Imported (lbs)]]*0.453592</f>
        <v>4.9895119999999995</v>
      </c>
      <c r="J350" s="23">
        <v>58.5</v>
      </c>
      <c r="K350" s="37"/>
    </row>
    <row r="351" spans="1:11" ht="15.75" customHeight="1">
      <c r="A351" s="27" t="s">
        <v>156</v>
      </c>
      <c r="B351" s="27" t="s">
        <v>28</v>
      </c>
      <c r="C351" s="27" t="s">
        <v>14</v>
      </c>
      <c r="D351" s="20" t="str">
        <f>VLOOKUP(Table1[[#This Row],[Point of Origin]],Table2[#All],2,0)</f>
        <v>USA</v>
      </c>
      <c r="E351" s="20" t="str">
        <f>VLOOKUP(Table1[[#This Row],[Point of Origin]],Table2[#All],3,0)</f>
        <v>Domestic</v>
      </c>
      <c r="F351" s="27" t="s">
        <v>167</v>
      </c>
      <c r="G351" s="21" t="s">
        <v>168</v>
      </c>
      <c r="H351" s="22">
        <v>4.5</v>
      </c>
      <c r="I351" s="22">
        <f>Table1[[#This Row],[Total Weight Imported (lbs)]]*0.453592</f>
        <v>2.0411640000000002</v>
      </c>
      <c r="J351" s="23">
        <v>28.5</v>
      </c>
      <c r="K351" s="38"/>
    </row>
    <row r="352" spans="1:11" ht="15.75" customHeight="1">
      <c r="A352" s="27" t="s">
        <v>156</v>
      </c>
      <c r="B352" s="27" t="s">
        <v>28</v>
      </c>
      <c r="C352" s="27" t="s">
        <v>14</v>
      </c>
      <c r="D352" s="20" t="str">
        <f>VLOOKUP(Table1[[#This Row],[Point of Origin]],Table2[#All],2,0)</f>
        <v>USA</v>
      </c>
      <c r="E352" s="20" t="str">
        <f>VLOOKUP(Table1[[#This Row],[Point of Origin]],Table2[#All],3,0)</f>
        <v>Domestic</v>
      </c>
      <c r="F352" s="27" t="s">
        <v>71</v>
      </c>
      <c r="G352" s="21" t="s">
        <v>72</v>
      </c>
      <c r="H352" s="22">
        <v>38</v>
      </c>
      <c r="I352" s="22">
        <f>Table1[[#This Row],[Total Weight Imported (lbs)]]*0.453592</f>
        <v>17.236495999999999</v>
      </c>
      <c r="J352" s="23">
        <v>85</v>
      </c>
      <c r="K352" s="38"/>
    </row>
    <row r="353" spans="1:11" ht="15.75" customHeight="1">
      <c r="A353" s="27" t="s">
        <v>156</v>
      </c>
      <c r="B353" s="27" t="s">
        <v>28</v>
      </c>
      <c r="C353" s="27" t="s">
        <v>14</v>
      </c>
      <c r="D353" s="20" t="str">
        <f>VLOOKUP(Table1[[#This Row],[Point of Origin]],Table2[#All],2,0)</f>
        <v>USA</v>
      </c>
      <c r="E353" s="20" t="str">
        <f>VLOOKUP(Table1[[#This Row],[Point of Origin]],Table2[#All],3,0)</f>
        <v>Domestic</v>
      </c>
      <c r="F353" s="27" t="s">
        <v>71</v>
      </c>
      <c r="G353" s="21" t="s">
        <v>72</v>
      </c>
      <c r="H353" s="22">
        <v>266</v>
      </c>
      <c r="I353" s="22">
        <f>Table1[[#This Row],[Total Weight Imported (lbs)]]*0.453592</f>
        <v>120.655472</v>
      </c>
      <c r="J353" s="23">
        <v>598.5</v>
      </c>
      <c r="K353" s="38"/>
    </row>
    <row r="354" spans="1:11" ht="15.75" customHeight="1">
      <c r="A354" s="27" t="s">
        <v>156</v>
      </c>
      <c r="B354" s="27" t="s">
        <v>28</v>
      </c>
      <c r="C354" s="27" t="s">
        <v>14</v>
      </c>
      <c r="D354" s="20" t="str">
        <f>VLOOKUP(Table1[[#This Row],[Point of Origin]],Table2[#All],2,0)</f>
        <v>USA</v>
      </c>
      <c r="E354" s="20" t="str">
        <f>VLOOKUP(Table1[[#This Row],[Point of Origin]],Table2[#All],3,0)</f>
        <v>Domestic</v>
      </c>
      <c r="F354" s="27" t="s">
        <v>71</v>
      </c>
      <c r="G354" s="21" t="s">
        <v>72</v>
      </c>
      <c r="H354" s="22">
        <v>266</v>
      </c>
      <c r="I354" s="22">
        <f>Table1[[#This Row],[Total Weight Imported (lbs)]]*0.453592</f>
        <v>120.655472</v>
      </c>
      <c r="J354" s="23">
        <v>591.5</v>
      </c>
      <c r="K354" s="38"/>
    </row>
    <row r="355" spans="1:11" ht="15.75" customHeight="1">
      <c r="A355" s="27" t="s">
        <v>156</v>
      </c>
      <c r="B355" s="27" t="s">
        <v>28</v>
      </c>
      <c r="C355" s="27" t="s">
        <v>14</v>
      </c>
      <c r="D355" s="20" t="str">
        <f>VLOOKUP(Table1[[#This Row],[Point of Origin]],Table2[#All],2,0)</f>
        <v>USA</v>
      </c>
      <c r="E355" s="20" t="str">
        <f>VLOOKUP(Table1[[#This Row],[Point of Origin]],Table2[#All],3,0)</f>
        <v>Domestic</v>
      </c>
      <c r="F355" s="27" t="s">
        <v>158</v>
      </c>
      <c r="G355" s="21" t="s">
        <v>127</v>
      </c>
      <c r="H355" s="22">
        <v>88</v>
      </c>
      <c r="I355" s="22">
        <f>Table1[[#This Row],[Total Weight Imported (lbs)]]*0.453592</f>
        <v>39.916095999999996</v>
      </c>
      <c r="J355" s="23">
        <v>90</v>
      </c>
      <c r="K355" s="38"/>
    </row>
    <row r="356" spans="1:11" ht="15.75" customHeight="1">
      <c r="A356" s="27" t="s">
        <v>156</v>
      </c>
      <c r="B356" s="27" t="s">
        <v>28</v>
      </c>
      <c r="C356" s="27" t="s">
        <v>14</v>
      </c>
      <c r="D356" s="20" t="str">
        <f>VLOOKUP(Table1[[#This Row],[Point of Origin]],Table2[#All],2,0)</f>
        <v>USA</v>
      </c>
      <c r="E356" s="20" t="str">
        <f>VLOOKUP(Table1[[#This Row],[Point of Origin]],Table2[#All],3,0)</f>
        <v>Domestic</v>
      </c>
      <c r="F356" s="20" t="s">
        <v>61</v>
      </c>
      <c r="G356" s="21" t="s">
        <v>62</v>
      </c>
      <c r="H356" s="22">
        <v>10</v>
      </c>
      <c r="I356" s="22">
        <f>Table1[[#This Row],[Total Weight Imported (lbs)]]*0.453592</f>
        <v>4.53592</v>
      </c>
      <c r="J356" s="23">
        <v>26.75</v>
      </c>
      <c r="K356" s="38"/>
    </row>
    <row r="357" spans="1:11" ht="15.75" customHeight="1">
      <c r="A357" s="27" t="s">
        <v>156</v>
      </c>
      <c r="B357" s="27" t="s">
        <v>28</v>
      </c>
      <c r="C357" s="27" t="s">
        <v>14</v>
      </c>
      <c r="D357" s="20" t="str">
        <f>VLOOKUP(Table1[[#This Row],[Point of Origin]],Table2[#All],2,0)</f>
        <v>USA</v>
      </c>
      <c r="E357" s="20" t="str">
        <f>VLOOKUP(Table1[[#This Row],[Point of Origin]],Table2[#All],3,0)</f>
        <v>Domestic</v>
      </c>
      <c r="F357" s="27" t="s">
        <v>87</v>
      </c>
      <c r="G357" s="21" t="s">
        <v>20</v>
      </c>
      <c r="H357" s="22">
        <v>15.5</v>
      </c>
      <c r="I357" s="22">
        <f>Table1[[#This Row],[Total Weight Imported (lbs)]]*0.453592</f>
        <v>7.0306759999999997</v>
      </c>
      <c r="J357" s="23">
        <v>26.25</v>
      </c>
      <c r="K357" s="38"/>
    </row>
    <row r="358" spans="1:11" ht="15.75" customHeight="1">
      <c r="A358" s="27" t="s">
        <v>156</v>
      </c>
      <c r="B358" s="27" t="s">
        <v>28</v>
      </c>
      <c r="C358" s="27" t="s">
        <v>14</v>
      </c>
      <c r="D358" s="20" t="str">
        <f>VLOOKUP(Table1[[#This Row],[Point of Origin]],Table2[#All],2,0)</f>
        <v>USA</v>
      </c>
      <c r="E358" s="20" t="str">
        <f>VLOOKUP(Table1[[#This Row],[Point of Origin]],Table2[#All],3,0)</f>
        <v>Domestic</v>
      </c>
      <c r="F358" s="27" t="s">
        <v>139</v>
      </c>
      <c r="G358" s="21" t="s">
        <v>140</v>
      </c>
      <c r="H358" s="22">
        <v>20</v>
      </c>
      <c r="I358" s="22">
        <f>Table1[[#This Row],[Total Weight Imported (lbs)]]*0.453592</f>
        <v>9.0718399999999999</v>
      </c>
      <c r="J358" s="23">
        <v>42.5</v>
      </c>
      <c r="K358" s="38"/>
    </row>
    <row r="359" spans="1:11" ht="15.75" customHeight="1">
      <c r="A359" s="27" t="s">
        <v>156</v>
      </c>
      <c r="B359" s="27" t="s">
        <v>28</v>
      </c>
      <c r="C359" s="27" t="s">
        <v>14</v>
      </c>
      <c r="D359" s="20" t="str">
        <f>VLOOKUP(Table1[[#This Row],[Point of Origin]],Table2[#All],2,0)</f>
        <v>USA</v>
      </c>
      <c r="E359" s="20" t="str">
        <f>VLOOKUP(Table1[[#This Row],[Point of Origin]],Table2[#All],3,0)</f>
        <v>Domestic</v>
      </c>
      <c r="F359" s="27" t="s">
        <v>137</v>
      </c>
      <c r="G359" s="21" t="s">
        <v>138</v>
      </c>
      <c r="H359" s="22">
        <v>320</v>
      </c>
      <c r="I359" s="22">
        <f>Table1[[#This Row],[Total Weight Imported (lbs)]]*0.453592</f>
        <v>145.14944</v>
      </c>
      <c r="J359" s="23">
        <v>308</v>
      </c>
      <c r="K359" s="37"/>
    </row>
    <row r="360" spans="1:11" ht="15.75" customHeight="1">
      <c r="A360" s="27" t="s">
        <v>156</v>
      </c>
      <c r="B360" s="27" t="s">
        <v>28</v>
      </c>
      <c r="C360" s="27" t="s">
        <v>14</v>
      </c>
      <c r="D360" s="20" t="str">
        <f>VLOOKUP(Table1[[#This Row],[Point of Origin]],Table2[#All],2,0)</f>
        <v>USA</v>
      </c>
      <c r="E360" s="20" t="str">
        <f>VLOOKUP(Table1[[#This Row],[Point of Origin]],Table2[#All],3,0)</f>
        <v>Domestic</v>
      </c>
      <c r="F360" s="20" t="s">
        <v>59</v>
      </c>
      <c r="G360" s="21" t="s">
        <v>60</v>
      </c>
      <c r="H360" s="22">
        <v>283</v>
      </c>
      <c r="I360" s="22">
        <f>Table1[[#This Row],[Total Weight Imported (lbs)]]*0.453592</f>
        <v>128.366536</v>
      </c>
      <c r="J360" s="23">
        <v>385</v>
      </c>
      <c r="K360" s="38"/>
    </row>
    <row r="361" spans="1:11" ht="15.75" customHeight="1">
      <c r="A361" s="27" t="s">
        <v>156</v>
      </c>
      <c r="B361" s="27" t="s">
        <v>28</v>
      </c>
      <c r="C361" s="27" t="s">
        <v>14</v>
      </c>
      <c r="D361" s="20" t="str">
        <f>VLOOKUP(Table1[[#This Row],[Point of Origin]],Table2[#All],2,0)</f>
        <v>USA</v>
      </c>
      <c r="E361" s="20" t="str">
        <f>VLOOKUP(Table1[[#This Row],[Point of Origin]],Table2[#All],3,0)</f>
        <v>Domestic</v>
      </c>
      <c r="F361" s="20" t="s">
        <v>59</v>
      </c>
      <c r="G361" s="21" t="s">
        <v>60</v>
      </c>
      <c r="H361" s="22">
        <v>240</v>
      </c>
      <c r="I361" s="22">
        <f>Table1[[#This Row],[Total Weight Imported (lbs)]]*0.453592</f>
        <v>108.86207999999999</v>
      </c>
      <c r="J361" s="23">
        <v>193</v>
      </c>
      <c r="K361" s="38"/>
    </row>
    <row r="362" spans="1:11" ht="15.75" customHeight="1">
      <c r="A362" s="27" t="s">
        <v>156</v>
      </c>
      <c r="B362" s="27" t="s">
        <v>28</v>
      </c>
      <c r="C362" s="27" t="s">
        <v>14</v>
      </c>
      <c r="D362" s="20" t="str">
        <f>VLOOKUP(Table1[[#This Row],[Point of Origin]],Table2[#All],2,0)</f>
        <v>USA</v>
      </c>
      <c r="E362" s="20" t="str">
        <f>VLOOKUP(Table1[[#This Row],[Point of Origin]],Table2[#All],3,0)</f>
        <v>Domestic</v>
      </c>
      <c r="F362" s="20" t="s">
        <v>59</v>
      </c>
      <c r="G362" s="21" t="s">
        <v>60</v>
      </c>
      <c r="H362" s="22">
        <v>160</v>
      </c>
      <c r="I362" s="22">
        <f>Table1[[#This Row],[Total Weight Imported (lbs)]]*0.453592</f>
        <v>72.574719999999999</v>
      </c>
      <c r="J362" s="23">
        <v>186</v>
      </c>
      <c r="K362" s="38"/>
    </row>
    <row r="363" spans="1:11" ht="15.75" customHeight="1">
      <c r="A363" s="27" t="s">
        <v>156</v>
      </c>
      <c r="B363" s="27" t="s">
        <v>28</v>
      </c>
      <c r="C363" s="27" t="s">
        <v>14</v>
      </c>
      <c r="D363" s="20" t="str">
        <f>VLOOKUP(Table1[[#This Row],[Point of Origin]],Table2[#All],2,0)</f>
        <v>USA</v>
      </c>
      <c r="E363" s="20" t="str">
        <f>VLOOKUP(Table1[[#This Row],[Point of Origin]],Table2[#All],3,0)</f>
        <v>Domestic</v>
      </c>
      <c r="F363" s="20" t="s">
        <v>59</v>
      </c>
      <c r="G363" s="21" t="s">
        <v>60</v>
      </c>
      <c r="H363" s="22">
        <v>80</v>
      </c>
      <c r="I363" s="22">
        <f>Table1[[#This Row],[Total Weight Imported (lbs)]]*0.453592</f>
        <v>36.28736</v>
      </c>
      <c r="J363" s="23">
        <v>178</v>
      </c>
      <c r="K363" s="38"/>
    </row>
    <row r="364" spans="1:11" ht="15.75" customHeight="1">
      <c r="A364" s="27" t="s">
        <v>156</v>
      </c>
      <c r="B364" s="27" t="s">
        <v>28</v>
      </c>
      <c r="C364" s="27" t="s">
        <v>14</v>
      </c>
      <c r="D364" s="20" t="str">
        <f>VLOOKUP(Table1[[#This Row],[Point of Origin]],Table2[#All],2,0)</f>
        <v>USA</v>
      </c>
      <c r="E364" s="20" t="str">
        <f>VLOOKUP(Table1[[#This Row],[Point of Origin]],Table2[#All],3,0)</f>
        <v>Domestic</v>
      </c>
      <c r="F364" s="27" t="s">
        <v>147</v>
      </c>
      <c r="G364" s="21" t="s">
        <v>138</v>
      </c>
      <c r="H364" s="22">
        <v>37.6</v>
      </c>
      <c r="I364" s="22">
        <f>Table1[[#This Row],[Total Weight Imported (lbs)]]*0.453592</f>
        <v>17.055059199999999</v>
      </c>
      <c r="J364" s="23">
        <v>62.5</v>
      </c>
      <c r="K364" s="38"/>
    </row>
    <row r="365" spans="1:11" ht="15.75" customHeight="1">
      <c r="A365" s="27" t="s">
        <v>156</v>
      </c>
      <c r="B365" s="27" t="s">
        <v>28</v>
      </c>
      <c r="C365" s="27" t="s">
        <v>14</v>
      </c>
      <c r="D365" s="20" t="str">
        <f>VLOOKUP(Table1[[#This Row],[Point of Origin]],Table2[#All],2,0)</f>
        <v>USA</v>
      </c>
      <c r="E365" s="20" t="str">
        <f>VLOOKUP(Table1[[#This Row],[Point of Origin]],Table2[#All],3,0)</f>
        <v>Domestic</v>
      </c>
      <c r="F365" s="31" t="s">
        <v>48</v>
      </c>
      <c r="G365" s="21" t="s">
        <v>49</v>
      </c>
      <c r="H365" s="22">
        <v>188</v>
      </c>
      <c r="I365" s="22">
        <f>Table1[[#This Row],[Total Weight Imported (lbs)]]*0.453592</f>
        <v>85.275295999999997</v>
      </c>
      <c r="J365" s="23">
        <v>490</v>
      </c>
      <c r="K365" s="38"/>
    </row>
    <row r="366" spans="1:11" ht="15.75" customHeight="1">
      <c r="A366" s="27" t="s">
        <v>156</v>
      </c>
      <c r="B366" s="27" t="s">
        <v>28</v>
      </c>
      <c r="C366" s="27" t="s">
        <v>14</v>
      </c>
      <c r="D366" s="20" t="str">
        <f>VLOOKUP(Table1[[#This Row],[Point of Origin]],Table2[#All],2,0)</f>
        <v>USA</v>
      </c>
      <c r="E366" s="20" t="str">
        <f>VLOOKUP(Table1[[#This Row],[Point of Origin]],Table2[#All],3,0)</f>
        <v>Domestic</v>
      </c>
      <c r="F366" s="20" t="s">
        <v>36</v>
      </c>
      <c r="G366" s="21" t="s">
        <v>57</v>
      </c>
      <c r="H366" s="22">
        <v>24</v>
      </c>
      <c r="I366" s="22">
        <f>Table1[[#This Row],[Total Weight Imported (lbs)]]*0.453592</f>
        <v>10.886208</v>
      </c>
      <c r="J366" s="23">
        <v>94</v>
      </c>
      <c r="K366" s="38"/>
    </row>
    <row r="367" spans="1:11" ht="15.75" customHeight="1">
      <c r="A367" s="27" t="s">
        <v>156</v>
      </c>
      <c r="B367" s="27" t="s">
        <v>28</v>
      </c>
      <c r="C367" s="27" t="s">
        <v>14</v>
      </c>
      <c r="D367" s="20" t="str">
        <f>VLOOKUP(Table1[[#This Row],[Point of Origin]],Table2[#All],2,0)</f>
        <v>USA</v>
      </c>
      <c r="E367" s="20" t="str">
        <f>VLOOKUP(Table1[[#This Row],[Point of Origin]],Table2[#All],3,0)</f>
        <v>Domestic</v>
      </c>
      <c r="F367" s="20" t="s">
        <v>36</v>
      </c>
      <c r="G367" s="21" t="s">
        <v>57</v>
      </c>
      <c r="H367" s="22">
        <v>42</v>
      </c>
      <c r="I367" s="22">
        <f>Table1[[#This Row],[Total Weight Imported (lbs)]]*0.453592</f>
        <v>19.050864000000001</v>
      </c>
      <c r="J367" s="23">
        <v>150.5</v>
      </c>
      <c r="K367" s="38"/>
    </row>
    <row r="368" spans="1:11" ht="15.75" customHeight="1">
      <c r="A368" s="27" t="s">
        <v>156</v>
      </c>
      <c r="B368" s="27" t="s">
        <v>28</v>
      </c>
      <c r="C368" s="27" t="s">
        <v>14</v>
      </c>
      <c r="D368" s="20" t="str">
        <f>VLOOKUP(Table1[[#This Row],[Point of Origin]],Table2[#All],2,0)</f>
        <v>USA</v>
      </c>
      <c r="E368" s="20" t="str">
        <f>VLOOKUP(Table1[[#This Row],[Point of Origin]],Table2[#All],3,0)</f>
        <v>Domestic</v>
      </c>
      <c r="F368" s="20" t="s">
        <v>76</v>
      </c>
      <c r="G368" s="21" t="s">
        <v>77</v>
      </c>
      <c r="H368" s="22">
        <v>75</v>
      </c>
      <c r="I368" s="22">
        <f>Table1[[#This Row],[Total Weight Imported (lbs)]]*0.453592</f>
        <v>34.019399999999997</v>
      </c>
      <c r="J368" s="23">
        <v>115.5</v>
      </c>
      <c r="K368" s="37"/>
    </row>
    <row r="369" spans="1:11" ht="15.75" customHeight="1">
      <c r="A369" s="27" t="s">
        <v>156</v>
      </c>
      <c r="B369" s="27" t="s">
        <v>28</v>
      </c>
      <c r="C369" s="27" t="s">
        <v>14</v>
      </c>
      <c r="D369" s="20" t="str">
        <f>VLOOKUP(Table1[[#This Row],[Point of Origin]],Table2[#All],2,0)</f>
        <v>USA</v>
      </c>
      <c r="E369" s="20" t="str">
        <f>VLOOKUP(Table1[[#This Row],[Point of Origin]],Table2[#All],3,0)</f>
        <v>Domestic</v>
      </c>
      <c r="F369" s="20" t="s">
        <v>76</v>
      </c>
      <c r="G369" s="21" t="s">
        <v>77</v>
      </c>
      <c r="H369" s="22">
        <v>36</v>
      </c>
      <c r="I369" s="22">
        <f>Table1[[#This Row],[Total Weight Imported (lbs)]]*0.453592</f>
        <v>16.329312000000002</v>
      </c>
      <c r="J369" s="23">
        <v>44.5</v>
      </c>
      <c r="K369" s="37"/>
    </row>
    <row r="370" spans="1:11" ht="15.75" customHeight="1">
      <c r="A370" s="27" t="s">
        <v>156</v>
      </c>
      <c r="B370" s="27" t="s">
        <v>28</v>
      </c>
      <c r="C370" s="27" t="s">
        <v>14</v>
      </c>
      <c r="D370" s="20" t="str">
        <f>VLOOKUP(Table1[[#This Row],[Point of Origin]],Table2[#All],2,0)</f>
        <v>USA</v>
      </c>
      <c r="E370" s="20" t="str">
        <f>VLOOKUP(Table1[[#This Row],[Point of Origin]],Table2[#All],3,0)</f>
        <v>Domestic</v>
      </c>
      <c r="F370" s="20" t="s">
        <v>76</v>
      </c>
      <c r="G370" s="21" t="s">
        <v>77</v>
      </c>
      <c r="H370" s="22">
        <v>750</v>
      </c>
      <c r="I370" s="22">
        <f>Table1[[#This Row],[Total Weight Imported (lbs)]]*0.453592</f>
        <v>340.19400000000002</v>
      </c>
      <c r="J370" s="23">
        <v>472.5</v>
      </c>
      <c r="K370" s="37"/>
    </row>
    <row r="371" spans="1:11" ht="15.75" customHeight="1">
      <c r="A371" s="27" t="s">
        <v>156</v>
      </c>
      <c r="B371" s="27" t="s">
        <v>28</v>
      </c>
      <c r="C371" s="27" t="s">
        <v>14</v>
      </c>
      <c r="D371" s="20" t="str">
        <f>VLOOKUP(Table1[[#This Row],[Point of Origin]],Table2[#All],2,0)</f>
        <v>USA</v>
      </c>
      <c r="E371" s="20" t="str">
        <f>VLOOKUP(Table1[[#This Row],[Point of Origin]],Table2[#All],3,0)</f>
        <v>Domestic</v>
      </c>
      <c r="F371" s="20" t="s">
        <v>43</v>
      </c>
      <c r="G371" s="21" t="s">
        <v>44</v>
      </c>
      <c r="H371" s="22">
        <v>120</v>
      </c>
      <c r="I371" s="22">
        <f>Table1[[#This Row],[Total Weight Imported (lbs)]]*0.453592</f>
        <v>54.431039999999996</v>
      </c>
      <c r="J371" s="23">
        <v>168.75</v>
      </c>
      <c r="K371" s="38"/>
    </row>
    <row r="372" spans="1:11" ht="15.75" customHeight="1">
      <c r="A372" s="27" t="s">
        <v>156</v>
      </c>
      <c r="B372" s="27" t="s">
        <v>28</v>
      </c>
      <c r="C372" s="27" t="s">
        <v>14</v>
      </c>
      <c r="D372" s="20" t="str">
        <f>VLOOKUP(Table1[[#This Row],[Point of Origin]],Table2[#All],2,0)</f>
        <v>USA</v>
      </c>
      <c r="E372" s="20" t="str">
        <f>VLOOKUP(Table1[[#This Row],[Point of Origin]],Table2[#All],3,0)</f>
        <v>Domestic</v>
      </c>
      <c r="F372" s="20" t="s">
        <v>43</v>
      </c>
      <c r="G372" s="21" t="s">
        <v>44</v>
      </c>
      <c r="H372" s="22">
        <v>160</v>
      </c>
      <c r="I372" s="22">
        <f>Table1[[#This Row],[Total Weight Imported (lbs)]]*0.453592</f>
        <v>72.574719999999999</v>
      </c>
      <c r="J372" s="23">
        <v>230</v>
      </c>
      <c r="K372" s="38"/>
    </row>
    <row r="373" spans="1:11" ht="15.75" customHeight="1">
      <c r="A373" s="27" t="s">
        <v>156</v>
      </c>
      <c r="B373" s="27" t="s">
        <v>28</v>
      </c>
      <c r="C373" s="27" t="s">
        <v>14</v>
      </c>
      <c r="D373" s="20" t="str">
        <f>VLOOKUP(Table1[[#This Row],[Point of Origin]],Table2[#All],2,0)</f>
        <v>USA</v>
      </c>
      <c r="E373" s="20" t="str">
        <f>VLOOKUP(Table1[[#This Row],[Point of Origin]],Table2[#All],3,0)</f>
        <v>Domestic</v>
      </c>
      <c r="F373" s="27" t="s">
        <v>102</v>
      </c>
      <c r="G373" s="21" t="s">
        <v>32</v>
      </c>
      <c r="H373" s="22">
        <v>10.7</v>
      </c>
      <c r="I373" s="22">
        <f>Table1[[#This Row],[Total Weight Imported (lbs)]]*0.453592</f>
        <v>4.8534343999999994</v>
      </c>
      <c r="J373" s="23">
        <v>24.5</v>
      </c>
      <c r="K373" s="38"/>
    </row>
    <row r="374" spans="1:11" ht="15.75" customHeight="1">
      <c r="A374" s="27" t="s">
        <v>156</v>
      </c>
      <c r="B374" s="27" t="s">
        <v>28</v>
      </c>
      <c r="C374" s="27" t="s">
        <v>14</v>
      </c>
      <c r="D374" s="20" t="str">
        <f>VLOOKUP(Table1[[#This Row],[Point of Origin]],Table2[#All],2,0)</f>
        <v>USA</v>
      </c>
      <c r="E374" s="20" t="str">
        <f>VLOOKUP(Table1[[#This Row],[Point of Origin]],Table2[#All],3,0)</f>
        <v>Domestic</v>
      </c>
      <c r="F374" s="27" t="s">
        <v>169</v>
      </c>
      <c r="G374" s="21" t="s">
        <v>170</v>
      </c>
      <c r="H374" s="22">
        <v>20</v>
      </c>
      <c r="I374" s="22">
        <f>Table1[[#This Row],[Total Weight Imported (lbs)]]*0.453592</f>
        <v>9.0718399999999999</v>
      </c>
      <c r="J374" s="23">
        <v>97</v>
      </c>
      <c r="K374" s="38"/>
    </row>
    <row r="375" spans="1:11" ht="15.75" customHeight="1">
      <c r="A375" s="27" t="s">
        <v>156</v>
      </c>
      <c r="B375" s="27" t="s">
        <v>28</v>
      </c>
      <c r="C375" s="27" t="s">
        <v>14</v>
      </c>
      <c r="D375" s="20" t="str">
        <f>VLOOKUP(Table1[[#This Row],[Point of Origin]],Table2[#All],2,0)</f>
        <v>USA</v>
      </c>
      <c r="E375" s="20" t="str">
        <f>VLOOKUP(Table1[[#This Row],[Point of Origin]],Table2[#All],3,0)</f>
        <v>Domestic</v>
      </c>
      <c r="F375" s="27" t="s">
        <v>159</v>
      </c>
      <c r="G375" s="21" t="s">
        <v>160</v>
      </c>
      <c r="H375" s="22">
        <v>125</v>
      </c>
      <c r="I375" s="22">
        <f>Table1[[#This Row],[Total Weight Imported (lbs)]]*0.453592</f>
        <v>56.698999999999998</v>
      </c>
      <c r="J375" s="23">
        <v>147.5</v>
      </c>
      <c r="K375" s="37"/>
    </row>
    <row r="376" spans="1:11" ht="15.75" customHeight="1">
      <c r="A376" s="27" t="s">
        <v>156</v>
      </c>
      <c r="B376" s="27" t="s">
        <v>28</v>
      </c>
      <c r="C376" s="27" t="s">
        <v>14</v>
      </c>
      <c r="D376" s="20" t="str">
        <f>VLOOKUP(Table1[[#This Row],[Point of Origin]],Table2[#All],2,0)</f>
        <v>USA</v>
      </c>
      <c r="E376" s="20" t="str">
        <f>VLOOKUP(Table1[[#This Row],[Point of Origin]],Table2[#All],3,0)</f>
        <v>Domestic</v>
      </c>
      <c r="F376" s="27" t="s">
        <v>171</v>
      </c>
      <c r="G376" s="21" t="s">
        <v>172</v>
      </c>
      <c r="H376" s="22">
        <v>28</v>
      </c>
      <c r="I376" s="22">
        <f>Table1[[#This Row],[Total Weight Imported (lbs)]]*0.453592</f>
        <v>12.700576</v>
      </c>
      <c r="J376" s="23">
        <v>45</v>
      </c>
      <c r="K376" s="37"/>
    </row>
    <row r="377" spans="1:11" ht="15.75" customHeight="1">
      <c r="A377" s="27" t="s">
        <v>156</v>
      </c>
      <c r="B377" s="27" t="s">
        <v>28</v>
      </c>
      <c r="C377" s="27" t="s">
        <v>14</v>
      </c>
      <c r="D377" s="20" t="str">
        <f>VLOOKUP(Table1[[#This Row],[Point of Origin]],Table2[#All],2,0)</f>
        <v>USA</v>
      </c>
      <c r="E377" s="20" t="str">
        <f>VLOOKUP(Table1[[#This Row],[Point of Origin]],Table2[#All],3,0)</f>
        <v>Domestic</v>
      </c>
      <c r="F377" s="27" t="s">
        <v>171</v>
      </c>
      <c r="G377" s="21" t="s">
        <v>172</v>
      </c>
      <c r="H377" s="22">
        <v>28</v>
      </c>
      <c r="I377" s="22">
        <f>Table1[[#This Row],[Total Weight Imported (lbs)]]*0.453592</f>
        <v>12.700576</v>
      </c>
      <c r="J377" s="23">
        <v>41.5</v>
      </c>
      <c r="K377" s="37"/>
    </row>
    <row r="378" spans="1:11" ht="15.75" customHeight="1">
      <c r="A378" s="27" t="s">
        <v>156</v>
      </c>
      <c r="B378" s="27" t="s">
        <v>28</v>
      </c>
      <c r="C378" s="27" t="s">
        <v>14</v>
      </c>
      <c r="D378" s="20" t="str">
        <f>VLOOKUP(Table1[[#This Row],[Point of Origin]],Table2[#All],2,0)</f>
        <v>USA</v>
      </c>
      <c r="E378" s="20" t="str">
        <f>VLOOKUP(Table1[[#This Row],[Point of Origin]],Table2[#All],3,0)</f>
        <v>Domestic</v>
      </c>
      <c r="F378" s="27" t="s">
        <v>173</v>
      </c>
      <c r="G378" s="21" t="s">
        <v>174</v>
      </c>
      <c r="H378" s="22">
        <v>40</v>
      </c>
      <c r="I378" s="22">
        <f>Table1[[#This Row],[Total Weight Imported (lbs)]]*0.453592</f>
        <v>18.14368</v>
      </c>
      <c r="J378" s="23">
        <v>369</v>
      </c>
      <c r="K378" s="37"/>
    </row>
    <row r="379" spans="1:11" ht="15.75" customHeight="1">
      <c r="A379" s="27" t="s">
        <v>156</v>
      </c>
      <c r="B379" s="27" t="s">
        <v>28</v>
      </c>
      <c r="C379" s="27" t="s">
        <v>14</v>
      </c>
      <c r="D379" s="20" t="str">
        <f>VLOOKUP(Table1[[#This Row],[Point of Origin]],Table2[#All],2,0)</f>
        <v>USA</v>
      </c>
      <c r="E379" s="20" t="str">
        <f>VLOOKUP(Table1[[#This Row],[Point of Origin]],Table2[#All],3,0)</f>
        <v>Domestic</v>
      </c>
      <c r="F379" s="27" t="s">
        <v>141</v>
      </c>
      <c r="G379" s="21" t="s">
        <v>142</v>
      </c>
      <c r="H379" s="22">
        <v>600</v>
      </c>
      <c r="I379" s="22">
        <f>Table1[[#This Row],[Total Weight Imported (lbs)]]*0.453592</f>
        <v>272.15519999999998</v>
      </c>
      <c r="J379" s="23">
        <v>288</v>
      </c>
      <c r="K379" s="38"/>
    </row>
    <row r="380" spans="1:11" ht="15.75" customHeight="1">
      <c r="A380" s="27" t="s">
        <v>156</v>
      </c>
      <c r="B380" s="27" t="s">
        <v>28</v>
      </c>
      <c r="C380" s="27" t="s">
        <v>14</v>
      </c>
      <c r="D380" s="20" t="str">
        <f>VLOOKUP(Table1[[#This Row],[Point of Origin]],Table2[#All],2,0)</f>
        <v>USA</v>
      </c>
      <c r="E380" s="20" t="str">
        <f>VLOOKUP(Table1[[#This Row],[Point of Origin]],Table2[#All],3,0)</f>
        <v>Domestic</v>
      </c>
      <c r="F380" s="27" t="s">
        <v>141</v>
      </c>
      <c r="G380" s="21" t="s">
        <v>142</v>
      </c>
      <c r="H380" s="22">
        <v>100</v>
      </c>
      <c r="I380" s="22">
        <f>Table1[[#This Row],[Total Weight Imported (lbs)]]*0.453592</f>
        <v>45.359200000000001</v>
      </c>
      <c r="J380" s="23">
        <v>33.5</v>
      </c>
      <c r="K380" s="38"/>
    </row>
    <row r="381" spans="1:11" ht="15.75" customHeight="1">
      <c r="A381" s="27" t="s">
        <v>156</v>
      </c>
      <c r="B381" s="27" t="s">
        <v>28</v>
      </c>
      <c r="C381" s="27" t="s">
        <v>14</v>
      </c>
      <c r="D381" s="20" t="str">
        <f>VLOOKUP(Table1[[#This Row],[Point of Origin]],Table2[#All],2,0)</f>
        <v>USA</v>
      </c>
      <c r="E381" s="20" t="str">
        <f>VLOOKUP(Table1[[#This Row],[Point of Origin]],Table2[#All],3,0)</f>
        <v>Domestic</v>
      </c>
      <c r="F381" s="27" t="s">
        <v>141</v>
      </c>
      <c r="G381" s="21" t="s">
        <v>142</v>
      </c>
      <c r="H381" s="22">
        <v>100</v>
      </c>
      <c r="I381" s="22">
        <f>Table1[[#This Row],[Total Weight Imported (lbs)]]*0.453592</f>
        <v>45.359200000000001</v>
      </c>
      <c r="J381" s="23">
        <v>30</v>
      </c>
      <c r="K381" s="38"/>
    </row>
    <row r="382" spans="1:11" ht="15.75" customHeight="1">
      <c r="A382" s="27" t="s">
        <v>156</v>
      </c>
      <c r="B382" s="27" t="s">
        <v>28</v>
      </c>
      <c r="C382" s="27" t="s">
        <v>14</v>
      </c>
      <c r="D382" s="20" t="str">
        <f>VLOOKUP(Table1[[#This Row],[Point of Origin]],Table2[#All],2,0)</f>
        <v>USA</v>
      </c>
      <c r="E382" s="20" t="str">
        <f>VLOOKUP(Table1[[#This Row],[Point of Origin]],Table2[#All],3,0)</f>
        <v>Domestic</v>
      </c>
      <c r="F382" s="27" t="s">
        <v>141</v>
      </c>
      <c r="G382" s="21" t="s">
        <v>142</v>
      </c>
      <c r="H382" s="22">
        <v>50</v>
      </c>
      <c r="I382" s="22">
        <f>Table1[[#This Row],[Total Weight Imported (lbs)]]*0.453592</f>
        <v>22.679600000000001</v>
      </c>
      <c r="J382" s="23">
        <v>42.25</v>
      </c>
      <c r="K382" s="38"/>
    </row>
    <row r="383" spans="1:11" ht="15.75" customHeight="1">
      <c r="A383" s="27" t="s">
        <v>156</v>
      </c>
      <c r="B383" s="27" t="s">
        <v>28</v>
      </c>
      <c r="C383" s="27" t="s">
        <v>14</v>
      </c>
      <c r="D383" s="20" t="str">
        <f>VLOOKUP(Table1[[#This Row],[Point of Origin]],Table2[#All],2,0)</f>
        <v>USA</v>
      </c>
      <c r="E383" s="20" t="str">
        <f>VLOOKUP(Table1[[#This Row],[Point of Origin]],Table2[#All],3,0)</f>
        <v>Domestic</v>
      </c>
      <c r="F383" s="27" t="s">
        <v>141</v>
      </c>
      <c r="G383" s="21" t="s">
        <v>142</v>
      </c>
      <c r="H383" s="22">
        <v>50</v>
      </c>
      <c r="I383" s="22">
        <f>Table1[[#This Row],[Total Weight Imported (lbs)]]*0.453592</f>
        <v>22.679600000000001</v>
      </c>
      <c r="J383" s="23">
        <v>49.5</v>
      </c>
      <c r="K383" s="38"/>
    </row>
    <row r="384" spans="1:11" ht="15.75" customHeight="1">
      <c r="A384" s="27" t="s">
        <v>156</v>
      </c>
      <c r="B384" s="27" t="s">
        <v>28</v>
      </c>
      <c r="C384" s="27" t="s">
        <v>14</v>
      </c>
      <c r="D384" s="20" t="str">
        <f>VLOOKUP(Table1[[#This Row],[Point of Origin]],Table2[#All],2,0)</f>
        <v>USA</v>
      </c>
      <c r="E384" s="20" t="str">
        <f>VLOOKUP(Table1[[#This Row],[Point of Origin]],Table2[#All],3,0)</f>
        <v>Domestic</v>
      </c>
      <c r="F384" s="20" t="s">
        <v>54</v>
      </c>
      <c r="G384" s="21" t="s">
        <v>30</v>
      </c>
      <c r="H384" s="22">
        <v>12</v>
      </c>
      <c r="I384" s="22">
        <f>Table1[[#This Row],[Total Weight Imported (lbs)]]*0.453592</f>
        <v>5.4431039999999999</v>
      </c>
      <c r="J384" s="23">
        <v>24.75</v>
      </c>
      <c r="K384" s="38"/>
    </row>
    <row r="385" spans="1:11" ht="15.75" customHeight="1">
      <c r="A385" s="27" t="s">
        <v>156</v>
      </c>
      <c r="B385" s="27" t="s">
        <v>28</v>
      </c>
      <c r="C385" s="27" t="s">
        <v>14</v>
      </c>
      <c r="D385" s="20" t="str">
        <f>VLOOKUP(Table1[[#This Row],[Point of Origin]],Table2[#All],2,0)</f>
        <v>USA</v>
      </c>
      <c r="E385" s="20" t="str">
        <f>VLOOKUP(Table1[[#This Row],[Point of Origin]],Table2[#All],3,0)</f>
        <v>Domestic</v>
      </c>
      <c r="F385" s="20" t="s">
        <v>50</v>
      </c>
      <c r="G385" s="21" t="s">
        <v>51</v>
      </c>
      <c r="H385" s="22">
        <v>7</v>
      </c>
      <c r="I385" s="22">
        <f>Table1[[#This Row],[Total Weight Imported (lbs)]]*0.453592</f>
        <v>3.175144</v>
      </c>
      <c r="J385" s="23">
        <v>34.5</v>
      </c>
      <c r="K385" s="38"/>
    </row>
    <row r="386" spans="1:11" ht="15.75" customHeight="1">
      <c r="A386" s="27" t="s">
        <v>156</v>
      </c>
      <c r="B386" s="27" t="s">
        <v>28</v>
      </c>
      <c r="C386" s="27" t="s">
        <v>14</v>
      </c>
      <c r="D386" s="20" t="str">
        <f>VLOOKUP(Table1[[#This Row],[Point of Origin]],Table2[#All],2,0)</f>
        <v>USA</v>
      </c>
      <c r="E386" s="20" t="str">
        <f>VLOOKUP(Table1[[#This Row],[Point of Origin]],Table2[#All],3,0)</f>
        <v>Domestic</v>
      </c>
      <c r="F386" s="20" t="s">
        <v>50</v>
      </c>
      <c r="G386" s="21" t="s">
        <v>51</v>
      </c>
      <c r="H386" s="22">
        <v>135</v>
      </c>
      <c r="I386" s="22">
        <f>Table1[[#This Row],[Total Weight Imported (lbs)]]*0.453592</f>
        <v>61.234920000000002</v>
      </c>
      <c r="J386" s="23">
        <v>337.5</v>
      </c>
      <c r="K386" s="38"/>
    </row>
    <row r="387" spans="1:11" ht="15.75" customHeight="1">
      <c r="A387" s="27" t="s">
        <v>156</v>
      </c>
      <c r="B387" s="27" t="s">
        <v>28</v>
      </c>
      <c r="C387" s="27" t="s">
        <v>14</v>
      </c>
      <c r="D387" s="20" t="str">
        <f>VLOOKUP(Table1[[#This Row],[Point of Origin]],Table2[#All],2,0)</f>
        <v>USA</v>
      </c>
      <c r="E387" s="20" t="str">
        <f>VLOOKUP(Table1[[#This Row],[Point of Origin]],Table2[#All],3,0)</f>
        <v>Domestic</v>
      </c>
      <c r="F387" s="20" t="s">
        <v>63</v>
      </c>
      <c r="G387" s="21" t="s">
        <v>64</v>
      </c>
      <c r="H387" s="22">
        <v>75</v>
      </c>
      <c r="I387" s="22">
        <f>Table1[[#This Row],[Total Weight Imported (lbs)]]*0.453592</f>
        <v>34.019399999999997</v>
      </c>
      <c r="J387" s="23">
        <v>103.5</v>
      </c>
      <c r="K387" s="37"/>
    </row>
    <row r="388" spans="1:11" ht="15.75" customHeight="1">
      <c r="A388" s="27" t="s">
        <v>156</v>
      </c>
      <c r="B388" s="27" t="s">
        <v>28</v>
      </c>
      <c r="C388" s="27" t="s">
        <v>14</v>
      </c>
      <c r="D388" s="20" t="str">
        <f>VLOOKUP(Table1[[#This Row],[Point of Origin]],Table2[#All],2,0)</f>
        <v>USA</v>
      </c>
      <c r="E388" s="20" t="str">
        <f>VLOOKUP(Table1[[#This Row],[Point of Origin]],Table2[#All],3,0)</f>
        <v>Domestic</v>
      </c>
      <c r="F388" s="27" t="s">
        <v>175</v>
      </c>
      <c r="G388" s="21" t="s">
        <v>174</v>
      </c>
      <c r="H388" s="22">
        <v>16</v>
      </c>
      <c r="I388" s="22">
        <f>Table1[[#This Row],[Total Weight Imported (lbs)]]*0.453592</f>
        <v>7.2574719999999999</v>
      </c>
      <c r="J388" s="23">
        <v>69.25</v>
      </c>
      <c r="K388" s="37"/>
    </row>
    <row r="389" spans="1:11" ht="15.75" customHeight="1">
      <c r="A389" s="27" t="s">
        <v>156</v>
      </c>
      <c r="B389" s="27" t="s">
        <v>28</v>
      </c>
      <c r="C389" s="27" t="s">
        <v>14</v>
      </c>
      <c r="D389" s="20" t="str">
        <f>VLOOKUP(Table1[[#This Row],[Point of Origin]],Table2[#All],2,0)</f>
        <v>USA</v>
      </c>
      <c r="E389" s="20" t="str">
        <f>VLOOKUP(Table1[[#This Row],[Point of Origin]],Table2[#All],3,0)</f>
        <v>Domestic</v>
      </c>
      <c r="F389" s="27" t="s">
        <v>176</v>
      </c>
      <c r="G389" s="21" t="s">
        <v>131</v>
      </c>
      <c r="H389" s="22">
        <v>120</v>
      </c>
      <c r="I389" s="22">
        <f>Table1[[#This Row],[Total Weight Imported (lbs)]]*0.453592</f>
        <v>54.431039999999996</v>
      </c>
      <c r="J389" s="23">
        <v>210</v>
      </c>
      <c r="K389" s="37"/>
    </row>
    <row r="390" spans="1:11" ht="15.75" customHeight="1">
      <c r="A390" s="27" t="s">
        <v>156</v>
      </c>
      <c r="B390" s="27" t="s">
        <v>28</v>
      </c>
      <c r="C390" s="27" t="s">
        <v>14</v>
      </c>
      <c r="D390" s="20" t="str">
        <f>VLOOKUP(Table1[[#This Row],[Point of Origin]],Table2[#All],2,0)</f>
        <v>USA</v>
      </c>
      <c r="E390" s="20" t="str">
        <f>VLOOKUP(Table1[[#This Row],[Point of Origin]],Table2[#All],3,0)</f>
        <v>Domestic</v>
      </c>
      <c r="F390" s="27" t="s">
        <v>176</v>
      </c>
      <c r="G390" s="21" t="s">
        <v>131</v>
      </c>
      <c r="H390" s="22">
        <v>44</v>
      </c>
      <c r="I390" s="22">
        <f>Table1[[#This Row],[Total Weight Imported (lbs)]]*0.453592</f>
        <v>19.958047999999998</v>
      </c>
      <c r="J390" s="23">
        <v>86.5</v>
      </c>
      <c r="K390" s="37"/>
    </row>
    <row r="391" spans="1:11" ht="15.75" customHeight="1">
      <c r="A391" s="27" t="s">
        <v>156</v>
      </c>
      <c r="B391" s="27" t="s">
        <v>28</v>
      </c>
      <c r="C391" s="27" t="s">
        <v>14</v>
      </c>
      <c r="D391" s="20" t="str">
        <f>VLOOKUP(Table1[[#This Row],[Point of Origin]],Table2[#All],2,0)</f>
        <v>USA</v>
      </c>
      <c r="E391" s="20" t="str">
        <f>VLOOKUP(Table1[[#This Row],[Point of Origin]],Table2[#All],3,0)</f>
        <v>Domestic</v>
      </c>
      <c r="F391" s="20" t="s">
        <v>38</v>
      </c>
      <c r="G391" s="21" t="s">
        <v>39</v>
      </c>
      <c r="H391" s="22">
        <v>110</v>
      </c>
      <c r="I391" s="22">
        <f>Table1[[#This Row],[Total Weight Imported (lbs)]]*0.453592</f>
        <v>49.895119999999999</v>
      </c>
      <c r="J391" s="23">
        <v>232.5</v>
      </c>
      <c r="K391" s="38"/>
    </row>
    <row r="392" spans="1:11" ht="15.75" customHeight="1">
      <c r="A392" s="27" t="s">
        <v>156</v>
      </c>
      <c r="B392" s="27" t="s">
        <v>28</v>
      </c>
      <c r="C392" s="27" t="s">
        <v>14</v>
      </c>
      <c r="D392" s="20" t="str">
        <f>VLOOKUP(Table1[[#This Row],[Point of Origin]],Table2[#All],2,0)</f>
        <v>USA</v>
      </c>
      <c r="E392" s="20" t="str">
        <f>VLOOKUP(Table1[[#This Row],[Point of Origin]],Table2[#All],3,0)</f>
        <v>Domestic</v>
      </c>
      <c r="F392" s="20" t="s">
        <v>38</v>
      </c>
      <c r="G392" s="21" t="s">
        <v>39</v>
      </c>
      <c r="H392" s="22">
        <v>53.2</v>
      </c>
      <c r="I392" s="22">
        <f>Table1[[#This Row],[Total Weight Imported (lbs)]]*0.453592</f>
        <v>24.131094400000002</v>
      </c>
      <c r="J392" s="23">
        <v>219</v>
      </c>
      <c r="K392" s="38"/>
    </row>
    <row r="393" spans="1:11" ht="15.75" customHeight="1">
      <c r="A393" s="27" t="s">
        <v>156</v>
      </c>
      <c r="B393" s="27" t="s">
        <v>28</v>
      </c>
      <c r="C393" s="27" t="s">
        <v>14</v>
      </c>
      <c r="D393" s="20" t="str">
        <f>VLOOKUP(Table1[[#This Row],[Point of Origin]],Table2[#All],2,0)</f>
        <v>USA</v>
      </c>
      <c r="E393" s="20" t="str">
        <f>VLOOKUP(Table1[[#This Row],[Point of Origin]],Table2[#All],3,0)</f>
        <v>Domestic</v>
      </c>
      <c r="F393" s="20" t="s">
        <v>38</v>
      </c>
      <c r="G393" s="21" t="s">
        <v>39</v>
      </c>
      <c r="H393" s="22">
        <v>39.36</v>
      </c>
      <c r="I393" s="22">
        <f>Table1[[#This Row],[Total Weight Imported (lbs)]]*0.453592</f>
        <v>17.853381119999998</v>
      </c>
      <c r="J393" s="23">
        <v>190</v>
      </c>
      <c r="K393" s="38"/>
    </row>
    <row r="394" spans="1:11" ht="15.75" customHeight="1">
      <c r="A394" s="27" t="s">
        <v>156</v>
      </c>
      <c r="B394" s="27" t="s">
        <v>28</v>
      </c>
      <c r="C394" s="27" t="s">
        <v>14</v>
      </c>
      <c r="D394" s="20" t="str">
        <f>VLOOKUP(Table1[[#This Row],[Point of Origin]],Table2[#All],2,0)</f>
        <v>USA</v>
      </c>
      <c r="E394" s="20" t="str">
        <f>VLOOKUP(Table1[[#This Row],[Point of Origin]],Table2[#All],3,0)</f>
        <v>Domestic</v>
      </c>
      <c r="F394" s="20" t="s">
        <v>38</v>
      </c>
      <c r="G394" s="21" t="s">
        <v>39</v>
      </c>
      <c r="H394" s="22">
        <v>35.6</v>
      </c>
      <c r="I394" s="22">
        <f>Table1[[#This Row],[Total Weight Imported (lbs)]]*0.453592</f>
        <v>16.147875200000001</v>
      </c>
      <c r="J394" s="23">
        <v>219</v>
      </c>
      <c r="K394" s="38"/>
    </row>
    <row r="395" spans="1:11" ht="15.75" customHeight="1">
      <c r="A395" s="27" t="s">
        <v>156</v>
      </c>
      <c r="B395" s="27" t="s">
        <v>28</v>
      </c>
      <c r="C395" s="27" t="s">
        <v>14</v>
      </c>
      <c r="D395" s="20" t="str">
        <f>VLOOKUP(Table1[[#This Row],[Point of Origin]],Table2[#All],2,0)</f>
        <v>USA</v>
      </c>
      <c r="E395" s="20" t="str">
        <f>VLOOKUP(Table1[[#This Row],[Point of Origin]],Table2[#All],3,0)</f>
        <v>Domestic</v>
      </c>
      <c r="F395" s="20" t="s">
        <v>38</v>
      </c>
      <c r="G395" s="21" t="s">
        <v>39</v>
      </c>
      <c r="H395" s="22">
        <v>125</v>
      </c>
      <c r="I395" s="22">
        <f>Table1[[#This Row],[Total Weight Imported (lbs)]]*0.453592</f>
        <v>56.698999999999998</v>
      </c>
      <c r="J395" s="23">
        <v>192.5</v>
      </c>
      <c r="K395" s="38"/>
    </row>
    <row r="396" spans="1:11" ht="15.75" customHeight="1">
      <c r="A396" s="27" t="s">
        <v>156</v>
      </c>
      <c r="B396" s="27" t="s">
        <v>28</v>
      </c>
      <c r="C396" s="27" t="s">
        <v>14</v>
      </c>
      <c r="D396" s="20" t="str">
        <f>VLOOKUP(Table1[[#This Row],[Point of Origin]],Table2[#All],2,0)</f>
        <v>USA</v>
      </c>
      <c r="E396" s="20" t="str">
        <f>VLOOKUP(Table1[[#This Row],[Point of Origin]],Table2[#All],3,0)</f>
        <v>Domestic</v>
      </c>
      <c r="F396" s="27" t="s">
        <v>161</v>
      </c>
      <c r="G396" s="21" t="s">
        <v>162</v>
      </c>
      <c r="H396" s="22">
        <v>186.8</v>
      </c>
      <c r="I396" s="22">
        <f>Table1[[#This Row],[Total Weight Imported (lbs)]]*0.453592</f>
        <v>84.730985600000011</v>
      </c>
      <c r="J396" s="23">
        <v>139</v>
      </c>
      <c r="K396" s="38"/>
    </row>
    <row r="397" spans="1:11" ht="15.75" customHeight="1">
      <c r="A397" s="27" t="s">
        <v>156</v>
      </c>
      <c r="B397" s="27" t="s">
        <v>28</v>
      </c>
      <c r="C397" s="27" t="s">
        <v>14</v>
      </c>
      <c r="D397" s="20" t="str">
        <f>VLOOKUP(Table1[[#This Row],[Point of Origin]],Table2[#All],2,0)</f>
        <v>USA</v>
      </c>
      <c r="E397" s="20" t="str">
        <f>VLOOKUP(Table1[[#This Row],[Point of Origin]],Table2[#All],3,0)</f>
        <v>Domestic</v>
      </c>
      <c r="F397" s="27" t="s">
        <v>161</v>
      </c>
      <c r="G397" s="21" t="s">
        <v>162</v>
      </c>
      <c r="H397" s="22">
        <v>346</v>
      </c>
      <c r="I397" s="22">
        <f>Table1[[#This Row],[Total Weight Imported (lbs)]]*0.453592</f>
        <v>156.94283200000001</v>
      </c>
      <c r="J397" s="23">
        <v>227.5</v>
      </c>
      <c r="K397" s="38"/>
    </row>
    <row r="398" spans="1:11" ht="15.75" customHeight="1">
      <c r="A398" s="27" t="s">
        <v>156</v>
      </c>
      <c r="B398" s="27" t="s">
        <v>28</v>
      </c>
      <c r="C398" s="27" t="s">
        <v>14</v>
      </c>
      <c r="D398" s="20" t="str">
        <f>VLOOKUP(Table1[[#This Row],[Point of Origin]],Table2[#All],2,0)</f>
        <v>USA</v>
      </c>
      <c r="E398" s="20" t="str">
        <f>VLOOKUP(Table1[[#This Row],[Point of Origin]],Table2[#All],3,0)</f>
        <v>Domestic</v>
      </c>
      <c r="F398" s="27" t="s">
        <v>135</v>
      </c>
      <c r="G398" s="21" t="s">
        <v>136</v>
      </c>
      <c r="H398" s="22">
        <v>456</v>
      </c>
      <c r="I398" s="22">
        <f>Table1[[#This Row],[Total Weight Imported (lbs)]]*0.453592</f>
        <v>206.837952</v>
      </c>
      <c r="J398" s="23">
        <v>690</v>
      </c>
      <c r="K398" s="38"/>
    </row>
    <row r="399" spans="1:11" ht="15.75" customHeight="1">
      <c r="A399" s="27" t="s">
        <v>156</v>
      </c>
      <c r="B399" s="27" t="s">
        <v>28</v>
      </c>
      <c r="C399" s="27" t="s">
        <v>14</v>
      </c>
      <c r="D399" s="20" t="str">
        <f>VLOOKUP(Table1[[#This Row],[Point of Origin]],Table2[#All],2,0)</f>
        <v>USA</v>
      </c>
      <c r="E399" s="20" t="str">
        <f>VLOOKUP(Table1[[#This Row],[Point of Origin]],Table2[#All],3,0)</f>
        <v>Domestic</v>
      </c>
      <c r="F399" s="20" t="s">
        <v>38</v>
      </c>
      <c r="G399" s="21" t="s">
        <v>39</v>
      </c>
      <c r="H399" s="22">
        <v>10</v>
      </c>
      <c r="I399" s="22">
        <f>Table1[[#This Row],[Total Weight Imported (lbs)]]*0.453592</f>
        <v>4.53592</v>
      </c>
      <c r="J399" s="23">
        <v>36.75</v>
      </c>
      <c r="K399" s="38"/>
    </row>
    <row r="400" spans="1:11" ht="15.75" customHeight="1">
      <c r="A400" s="27" t="s">
        <v>156</v>
      </c>
      <c r="B400" s="27" t="s">
        <v>28</v>
      </c>
      <c r="C400" s="27" t="s">
        <v>14</v>
      </c>
      <c r="D400" s="20" t="str">
        <f>VLOOKUP(Table1[[#This Row],[Point of Origin]],Table2[#All],2,0)</f>
        <v>USA</v>
      </c>
      <c r="E400" s="20" t="str">
        <f>VLOOKUP(Table1[[#This Row],[Point of Origin]],Table2[#All],3,0)</f>
        <v>Domestic</v>
      </c>
      <c r="F400" s="20" t="s">
        <v>82</v>
      </c>
      <c r="G400" s="21" t="s">
        <v>80</v>
      </c>
      <c r="H400" s="22">
        <v>630</v>
      </c>
      <c r="I400" s="22">
        <f>Table1[[#This Row],[Total Weight Imported (lbs)]]*0.453592</f>
        <v>285.76296000000002</v>
      </c>
      <c r="J400" s="23">
        <v>364</v>
      </c>
      <c r="K400" s="38"/>
    </row>
    <row r="401" spans="1:11" ht="15.75" customHeight="1">
      <c r="A401" s="27" t="s">
        <v>156</v>
      </c>
      <c r="B401" s="27" t="s">
        <v>28</v>
      </c>
      <c r="C401" s="27" t="s">
        <v>14</v>
      </c>
      <c r="D401" s="20" t="str">
        <f>VLOOKUP(Table1[[#This Row],[Point of Origin]],Table2[#All],2,0)</f>
        <v>USA</v>
      </c>
      <c r="E401" s="20" t="str">
        <f>VLOOKUP(Table1[[#This Row],[Point of Origin]],Table2[#All],3,0)</f>
        <v>Domestic</v>
      </c>
      <c r="F401" s="20" t="s">
        <v>82</v>
      </c>
      <c r="G401" s="21" t="s">
        <v>80</v>
      </c>
      <c r="H401" s="22">
        <v>750</v>
      </c>
      <c r="I401" s="22">
        <f>Table1[[#This Row],[Total Weight Imported (lbs)]]*0.453592</f>
        <v>340.19400000000002</v>
      </c>
      <c r="J401" s="23">
        <v>270</v>
      </c>
      <c r="K401" s="38"/>
    </row>
    <row r="402" spans="1:11" ht="15.75" customHeight="1">
      <c r="A402" s="27" t="s">
        <v>156</v>
      </c>
      <c r="B402" s="27" t="s">
        <v>28</v>
      </c>
      <c r="C402" s="27" t="s">
        <v>14</v>
      </c>
      <c r="D402" s="20" t="str">
        <f>VLOOKUP(Table1[[#This Row],[Point of Origin]],Table2[#All],2,0)</f>
        <v>USA</v>
      </c>
      <c r="E402" s="20" t="str">
        <f>VLOOKUP(Table1[[#This Row],[Point of Origin]],Table2[#All],3,0)</f>
        <v>Domestic</v>
      </c>
      <c r="F402" s="20" t="s">
        <v>40</v>
      </c>
      <c r="G402" s="21" t="s">
        <v>41</v>
      </c>
      <c r="H402" s="22">
        <v>100</v>
      </c>
      <c r="I402" s="22">
        <f>Table1[[#This Row],[Total Weight Imported (lbs)]]*0.453592</f>
        <v>45.359200000000001</v>
      </c>
      <c r="J402" s="23">
        <v>72</v>
      </c>
      <c r="K402" s="38"/>
    </row>
    <row r="403" spans="1:11" ht="15.75" customHeight="1">
      <c r="A403" s="27" t="s">
        <v>156</v>
      </c>
      <c r="B403" s="27" t="s">
        <v>28</v>
      </c>
      <c r="C403" s="27" t="s">
        <v>14</v>
      </c>
      <c r="D403" s="20" t="str">
        <f>VLOOKUP(Table1[[#This Row],[Point of Origin]],Table2[#All],2,0)</f>
        <v>USA</v>
      </c>
      <c r="E403" s="20" t="str">
        <f>VLOOKUP(Table1[[#This Row],[Point of Origin]],Table2[#All],3,0)</f>
        <v>Domestic</v>
      </c>
      <c r="F403" s="27" t="s">
        <v>96</v>
      </c>
      <c r="G403" s="21" t="s">
        <v>97</v>
      </c>
      <c r="H403" s="22">
        <v>30</v>
      </c>
      <c r="I403" s="22">
        <f>Table1[[#This Row],[Total Weight Imported (lbs)]]*0.453592</f>
        <v>13.607759999999999</v>
      </c>
      <c r="J403" s="23">
        <v>95</v>
      </c>
      <c r="K403" s="37"/>
    </row>
    <row r="404" spans="1:11" ht="15.75" customHeight="1">
      <c r="A404" s="27" t="s">
        <v>156</v>
      </c>
      <c r="B404" s="27" t="s">
        <v>28</v>
      </c>
      <c r="C404" s="27" t="s">
        <v>14</v>
      </c>
      <c r="D404" s="20" t="str">
        <f>VLOOKUP(Table1[[#This Row],[Point of Origin]],Table2[#All],2,0)</f>
        <v>USA</v>
      </c>
      <c r="E404" s="20" t="str">
        <f>VLOOKUP(Table1[[#This Row],[Point of Origin]],Table2[#All],3,0)</f>
        <v>Domestic</v>
      </c>
      <c r="F404" s="27" t="s">
        <v>63</v>
      </c>
      <c r="G404" s="21" t="s">
        <v>64</v>
      </c>
      <c r="H404" s="22">
        <v>105</v>
      </c>
      <c r="I404" s="22">
        <f>Table1[[#This Row],[Total Weight Imported (lbs)]]*0.453592</f>
        <v>47.627159999999996</v>
      </c>
      <c r="J404" s="23">
        <v>54</v>
      </c>
      <c r="K404" s="37"/>
    </row>
    <row r="405" spans="1:11" ht="15.75" customHeight="1">
      <c r="A405" s="27" t="s">
        <v>156</v>
      </c>
      <c r="B405" s="27" t="s">
        <v>28</v>
      </c>
      <c r="C405" s="27" t="s">
        <v>14</v>
      </c>
      <c r="D405" s="20" t="str">
        <f>VLOOKUP(Table1[[#This Row],[Point of Origin]],Table2[#All],2,0)</f>
        <v>USA</v>
      </c>
      <c r="E405" s="20" t="str">
        <f>VLOOKUP(Table1[[#This Row],[Point of Origin]],Table2[#All],3,0)</f>
        <v>Domestic</v>
      </c>
      <c r="F405" s="20" t="s">
        <v>54</v>
      </c>
      <c r="G405" s="21" t="s">
        <v>30</v>
      </c>
      <c r="H405" s="22">
        <v>400</v>
      </c>
      <c r="I405" s="22">
        <f>Table1[[#This Row],[Total Weight Imported (lbs)]]*0.453592</f>
        <v>181.43680000000001</v>
      </c>
      <c r="J405" s="23">
        <v>140</v>
      </c>
      <c r="K405" s="38"/>
    </row>
    <row r="406" spans="1:11" ht="15.75" customHeight="1">
      <c r="A406" s="27" t="s">
        <v>156</v>
      </c>
      <c r="B406" s="27" t="s">
        <v>28</v>
      </c>
      <c r="C406" s="27" t="s">
        <v>14</v>
      </c>
      <c r="D406" s="20" t="str">
        <f>VLOOKUP(Table1[[#This Row],[Point of Origin]],Table2[#All],2,0)</f>
        <v>USA</v>
      </c>
      <c r="E406" s="20" t="str">
        <f>VLOOKUP(Table1[[#This Row],[Point of Origin]],Table2[#All],3,0)</f>
        <v>Domestic</v>
      </c>
      <c r="F406" s="27" t="s">
        <v>177</v>
      </c>
      <c r="G406" s="21" t="s">
        <v>178</v>
      </c>
      <c r="H406" s="22">
        <v>40</v>
      </c>
      <c r="I406" s="22">
        <f>Table1[[#This Row],[Total Weight Imported (lbs)]]*0.453592</f>
        <v>18.14368</v>
      </c>
      <c r="J406" s="23">
        <v>60</v>
      </c>
      <c r="K406" s="37"/>
    </row>
    <row r="407" spans="1:11" ht="15.75" customHeight="1">
      <c r="A407" s="27" t="s">
        <v>156</v>
      </c>
      <c r="B407" s="27" t="s">
        <v>28</v>
      </c>
      <c r="C407" s="27" t="s">
        <v>14</v>
      </c>
      <c r="D407" s="20" t="str">
        <f>VLOOKUP(Table1[[#This Row],[Point of Origin]],Table2[#All],2,0)</f>
        <v>USA</v>
      </c>
      <c r="E407" s="20" t="str">
        <f>VLOOKUP(Table1[[#This Row],[Point of Origin]],Table2[#All],3,0)</f>
        <v>Domestic</v>
      </c>
      <c r="F407" s="20" t="s">
        <v>36</v>
      </c>
      <c r="G407" s="21" t="s">
        <v>57</v>
      </c>
      <c r="H407" s="22">
        <v>6</v>
      </c>
      <c r="I407" s="22">
        <f>Table1[[#This Row],[Total Weight Imported (lbs)]]*0.453592</f>
        <v>2.721552</v>
      </c>
      <c r="J407" s="23">
        <v>45</v>
      </c>
      <c r="K407" s="38"/>
    </row>
    <row r="408" spans="1:11" ht="15.75" customHeight="1">
      <c r="A408" s="27" t="s">
        <v>156</v>
      </c>
      <c r="B408" s="27" t="s">
        <v>28</v>
      </c>
      <c r="C408" s="27" t="s">
        <v>14</v>
      </c>
      <c r="D408" s="20" t="str">
        <f>VLOOKUP(Table1[[#This Row],[Point of Origin]],Table2[#All],2,0)</f>
        <v>USA</v>
      </c>
      <c r="E408" s="20" t="str">
        <f>VLOOKUP(Table1[[#This Row],[Point of Origin]],Table2[#All],3,0)</f>
        <v>Domestic</v>
      </c>
      <c r="F408" s="20" t="s">
        <v>36</v>
      </c>
      <c r="G408" s="21" t="s">
        <v>57</v>
      </c>
      <c r="H408" s="22">
        <v>6</v>
      </c>
      <c r="I408" s="22">
        <f>Table1[[#This Row],[Total Weight Imported (lbs)]]*0.453592</f>
        <v>2.721552</v>
      </c>
      <c r="J408" s="23">
        <v>45</v>
      </c>
      <c r="K408" s="38"/>
    </row>
    <row r="409" spans="1:11" ht="15.75" customHeight="1">
      <c r="A409" s="27" t="s">
        <v>156</v>
      </c>
      <c r="B409" s="27" t="s">
        <v>28</v>
      </c>
      <c r="C409" s="27" t="s">
        <v>14</v>
      </c>
      <c r="D409" s="20" t="str">
        <f>VLOOKUP(Table1[[#This Row],[Point of Origin]],Table2[#All],2,0)</f>
        <v>USA</v>
      </c>
      <c r="E409" s="20" t="str">
        <f>VLOOKUP(Table1[[#This Row],[Point of Origin]],Table2[#All],3,0)</f>
        <v>Domestic</v>
      </c>
      <c r="F409" s="20" t="s">
        <v>36</v>
      </c>
      <c r="G409" s="21" t="s">
        <v>57</v>
      </c>
      <c r="H409" s="22">
        <v>12</v>
      </c>
      <c r="I409" s="22">
        <f>Table1[[#This Row],[Total Weight Imported (lbs)]]*0.453592</f>
        <v>5.4431039999999999</v>
      </c>
      <c r="J409" s="23">
        <v>43</v>
      </c>
      <c r="K409" s="38"/>
    </row>
    <row r="410" spans="1:11" ht="15.75" customHeight="1">
      <c r="A410" s="27" t="s">
        <v>156</v>
      </c>
      <c r="B410" s="27" t="s">
        <v>28</v>
      </c>
      <c r="C410" s="27" t="s">
        <v>14</v>
      </c>
      <c r="D410" s="20" t="str">
        <f>VLOOKUP(Table1[[#This Row],[Point of Origin]],Table2[#All],2,0)</f>
        <v>USA</v>
      </c>
      <c r="E410" s="20" t="str">
        <f>VLOOKUP(Table1[[#This Row],[Point of Origin]],Table2[#All],3,0)</f>
        <v>Domestic</v>
      </c>
      <c r="F410" s="27" t="s">
        <v>135</v>
      </c>
      <c r="G410" s="21" t="s">
        <v>136</v>
      </c>
      <c r="H410" s="22">
        <v>22</v>
      </c>
      <c r="I410" s="22">
        <f>Table1[[#This Row],[Total Weight Imported (lbs)]]*0.453592</f>
        <v>9.979023999999999</v>
      </c>
      <c r="J410" s="23">
        <v>68</v>
      </c>
      <c r="K410" s="38"/>
    </row>
    <row r="411" spans="1:11" ht="15.75" customHeight="1">
      <c r="A411" s="27" t="s">
        <v>156</v>
      </c>
      <c r="B411" s="27" t="s">
        <v>28</v>
      </c>
      <c r="C411" s="27" t="s">
        <v>14</v>
      </c>
      <c r="D411" s="20" t="str">
        <f>VLOOKUP(Table1[[#This Row],[Point of Origin]],Table2[#All],2,0)</f>
        <v>USA</v>
      </c>
      <c r="E411" s="20" t="str">
        <f>VLOOKUP(Table1[[#This Row],[Point of Origin]],Table2[#All],3,0)</f>
        <v>Domestic</v>
      </c>
      <c r="F411" s="20" t="s">
        <v>76</v>
      </c>
      <c r="G411" s="21" t="s">
        <v>77</v>
      </c>
      <c r="H411" s="22">
        <v>75</v>
      </c>
      <c r="I411" s="22">
        <f>Table1[[#This Row],[Total Weight Imported (lbs)]]*0.453592</f>
        <v>34.019399999999997</v>
      </c>
      <c r="J411" s="23">
        <v>115.5</v>
      </c>
      <c r="K411" s="37"/>
    </row>
    <row r="412" spans="1:11" ht="15.75" customHeight="1">
      <c r="A412" s="27" t="s">
        <v>156</v>
      </c>
      <c r="B412" s="27" t="s">
        <v>28</v>
      </c>
      <c r="C412" s="27" t="s">
        <v>14</v>
      </c>
      <c r="D412" s="20" t="str">
        <f>VLOOKUP(Table1[[#This Row],[Point of Origin]],Table2[#All],2,0)</f>
        <v>USA</v>
      </c>
      <c r="E412" s="20" t="str">
        <f>VLOOKUP(Table1[[#This Row],[Point of Origin]],Table2[#All],3,0)</f>
        <v>Domestic</v>
      </c>
      <c r="F412" s="20" t="s">
        <v>82</v>
      </c>
      <c r="G412" s="21" t="s">
        <v>20</v>
      </c>
      <c r="H412" s="22">
        <v>50</v>
      </c>
      <c r="I412" s="22">
        <f>Table1[[#This Row],[Total Weight Imported (lbs)]]*0.453592</f>
        <v>22.679600000000001</v>
      </c>
      <c r="J412" s="23">
        <v>88</v>
      </c>
      <c r="K412" s="38"/>
    </row>
    <row r="413" spans="1:11" ht="15.75" customHeight="1">
      <c r="A413" s="27" t="s">
        <v>156</v>
      </c>
      <c r="B413" s="27" t="s">
        <v>28</v>
      </c>
      <c r="C413" s="27" t="s">
        <v>14</v>
      </c>
      <c r="D413" s="20" t="str">
        <f>VLOOKUP(Table1[[#This Row],[Point of Origin]],Table2[#All],2,0)</f>
        <v>USA</v>
      </c>
      <c r="E413" s="20" t="str">
        <f>VLOOKUP(Table1[[#This Row],[Point of Origin]],Table2[#All],3,0)</f>
        <v>Domestic</v>
      </c>
      <c r="F413" s="20" t="s">
        <v>19</v>
      </c>
      <c r="G413" s="21" t="s">
        <v>20</v>
      </c>
      <c r="H413" s="22">
        <v>30</v>
      </c>
      <c r="I413" s="22">
        <f>Table1[[#This Row],[Total Weight Imported (lbs)]]*0.453592</f>
        <v>13.607759999999999</v>
      </c>
      <c r="J413" s="23">
        <v>68</v>
      </c>
      <c r="K413" s="38"/>
    </row>
    <row r="414" spans="1:11" ht="15.75" customHeight="1">
      <c r="A414" s="27" t="s">
        <v>156</v>
      </c>
      <c r="B414" s="27" t="s">
        <v>28</v>
      </c>
      <c r="C414" s="27" t="s">
        <v>14</v>
      </c>
      <c r="D414" s="20" t="str">
        <f>VLOOKUP(Table1[[#This Row],[Point of Origin]],Table2[#All],2,0)</f>
        <v>USA</v>
      </c>
      <c r="E414" s="20" t="str">
        <f>VLOOKUP(Table1[[#This Row],[Point of Origin]],Table2[#All],3,0)</f>
        <v>Domestic</v>
      </c>
      <c r="F414" s="27" t="s">
        <v>163</v>
      </c>
      <c r="G414" s="21" t="s">
        <v>164</v>
      </c>
      <c r="H414" s="22">
        <v>180</v>
      </c>
      <c r="I414" s="22">
        <f>Table1[[#This Row],[Total Weight Imported (lbs)]]*0.453592</f>
        <v>81.646559999999994</v>
      </c>
      <c r="J414" s="23">
        <v>192</v>
      </c>
      <c r="K414" s="38"/>
    </row>
    <row r="415" spans="1:11" ht="15.75" customHeight="1">
      <c r="A415" s="27" t="s">
        <v>156</v>
      </c>
      <c r="B415" s="27" t="s">
        <v>28</v>
      </c>
      <c r="C415" s="27" t="s">
        <v>14</v>
      </c>
      <c r="D415" s="20" t="str">
        <f>VLOOKUP(Table1[[#This Row],[Point of Origin]],Table2[#All],2,0)</f>
        <v>USA</v>
      </c>
      <c r="E415" s="20" t="str">
        <f>VLOOKUP(Table1[[#This Row],[Point of Origin]],Table2[#All],3,0)</f>
        <v>Domestic</v>
      </c>
      <c r="F415" s="27" t="s">
        <v>58</v>
      </c>
      <c r="G415" s="21" t="s">
        <v>34</v>
      </c>
      <c r="H415" s="22">
        <v>420</v>
      </c>
      <c r="I415" s="22">
        <f>Table1[[#This Row],[Total Weight Imported (lbs)]]*0.453592</f>
        <v>190.50863999999999</v>
      </c>
      <c r="J415" s="23">
        <v>480</v>
      </c>
      <c r="K415" s="38"/>
    </row>
    <row r="416" spans="1:11" ht="15.75" customHeight="1">
      <c r="A416" s="27" t="s">
        <v>156</v>
      </c>
      <c r="B416" s="27" t="s">
        <v>28</v>
      </c>
      <c r="C416" s="27" t="s">
        <v>14</v>
      </c>
      <c r="D416" s="20" t="str">
        <f>VLOOKUP(Table1[[#This Row],[Point of Origin]],Table2[#All],2,0)</f>
        <v>USA</v>
      </c>
      <c r="E416" s="20" t="str">
        <f>VLOOKUP(Table1[[#This Row],[Point of Origin]],Table2[#All],3,0)</f>
        <v>Domestic</v>
      </c>
      <c r="F416" s="20" t="s">
        <v>73</v>
      </c>
      <c r="G416" s="21" t="s">
        <v>74</v>
      </c>
      <c r="H416" s="22">
        <v>60</v>
      </c>
      <c r="I416" s="22">
        <f>Table1[[#This Row],[Total Weight Imported (lbs)]]*0.453592</f>
        <v>27.215519999999998</v>
      </c>
      <c r="J416" s="23">
        <v>64</v>
      </c>
      <c r="K416" s="37"/>
    </row>
    <row r="417" spans="1:11" ht="15.75" customHeight="1">
      <c r="A417" s="27" t="s">
        <v>156</v>
      </c>
      <c r="B417" s="27" t="s">
        <v>28</v>
      </c>
      <c r="C417" s="27" t="s">
        <v>14</v>
      </c>
      <c r="D417" s="20" t="str">
        <f>VLOOKUP(Table1[[#This Row],[Point of Origin]],Table2[#All],2,0)</f>
        <v>USA</v>
      </c>
      <c r="E417" s="20" t="str">
        <f>VLOOKUP(Table1[[#This Row],[Point of Origin]],Table2[#All],3,0)</f>
        <v>Domestic</v>
      </c>
      <c r="F417" s="20" t="s">
        <v>50</v>
      </c>
      <c r="G417" s="21" t="s">
        <v>51</v>
      </c>
      <c r="H417" s="22">
        <v>40</v>
      </c>
      <c r="I417" s="22">
        <f>Table1[[#This Row],[Total Weight Imported (lbs)]]*0.453592</f>
        <v>18.14368</v>
      </c>
      <c r="J417" s="23">
        <v>106</v>
      </c>
      <c r="K417" s="38"/>
    </row>
    <row r="418" spans="1:11" ht="15.75" customHeight="1">
      <c r="A418" s="27" t="s">
        <v>156</v>
      </c>
      <c r="B418" s="27" t="s">
        <v>28</v>
      </c>
      <c r="C418" s="27" t="s">
        <v>14</v>
      </c>
      <c r="D418" s="20" t="str">
        <f>VLOOKUP(Table1[[#This Row],[Point of Origin]],Table2[#All],2,0)</f>
        <v>USA</v>
      </c>
      <c r="E418" s="20" t="str">
        <f>VLOOKUP(Table1[[#This Row],[Point of Origin]],Table2[#All],3,0)</f>
        <v>Domestic</v>
      </c>
      <c r="F418" s="27" t="s">
        <v>179</v>
      </c>
      <c r="G418" s="21" t="s">
        <v>180</v>
      </c>
      <c r="H418" s="22">
        <v>22</v>
      </c>
      <c r="I418" s="22">
        <f>Table1[[#This Row],[Total Weight Imported (lbs)]]*0.453592</f>
        <v>9.979023999999999</v>
      </c>
      <c r="J418" s="23">
        <v>13</v>
      </c>
      <c r="K418" s="37"/>
    </row>
    <row r="419" spans="1:11" ht="15.75" customHeight="1">
      <c r="A419" s="27" t="s">
        <v>156</v>
      </c>
      <c r="B419" s="27" t="s">
        <v>28</v>
      </c>
      <c r="C419" s="27" t="s">
        <v>14</v>
      </c>
      <c r="D419" s="20" t="str">
        <f>VLOOKUP(Table1[[#This Row],[Point of Origin]],Table2[#All],2,0)</f>
        <v>USA</v>
      </c>
      <c r="E419" s="20" t="str">
        <f>VLOOKUP(Table1[[#This Row],[Point of Origin]],Table2[#All],3,0)</f>
        <v>Domestic</v>
      </c>
      <c r="F419" s="27" t="s">
        <v>121</v>
      </c>
      <c r="G419" s="21" t="s">
        <v>122</v>
      </c>
      <c r="H419" s="22">
        <v>38.200000000000003</v>
      </c>
      <c r="I419" s="22">
        <f>Table1[[#This Row],[Total Weight Imported (lbs)]]*0.453592</f>
        <v>17.327214400000003</v>
      </c>
      <c r="J419" s="23">
        <v>80</v>
      </c>
      <c r="K419" s="37"/>
    </row>
    <row r="420" spans="1:11" ht="15.75" customHeight="1">
      <c r="A420" s="27" t="s">
        <v>156</v>
      </c>
      <c r="B420" s="27" t="s">
        <v>28</v>
      </c>
      <c r="C420" s="27" t="s">
        <v>14</v>
      </c>
      <c r="D420" s="20" t="str">
        <f>VLOOKUP(Table1[[#This Row],[Point of Origin]],Table2[#All],2,0)</f>
        <v>USA</v>
      </c>
      <c r="E420" s="20" t="str">
        <f>VLOOKUP(Table1[[#This Row],[Point of Origin]],Table2[#All],3,0)</f>
        <v>Domestic</v>
      </c>
      <c r="F420" s="27" t="s">
        <v>121</v>
      </c>
      <c r="G420" s="21" t="s">
        <v>122</v>
      </c>
      <c r="H420" s="22">
        <v>122</v>
      </c>
      <c r="I420" s="22">
        <f>Table1[[#This Row],[Total Weight Imported (lbs)]]*0.453592</f>
        <v>55.338223999999997</v>
      </c>
      <c r="J420" s="23">
        <v>172</v>
      </c>
      <c r="K420" s="37"/>
    </row>
    <row r="421" spans="1:11" ht="15.75" customHeight="1">
      <c r="A421" s="27" t="s">
        <v>156</v>
      </c>
      <c r="B421" s="27" t="s">
        <v>28</v>
      </c>
      <c r="C421" s="27" t="s">
        <v>14</v>
      </c>
      <c r="D421" s="20" t="str">
        <f>VLOOKUP(Table1[[#This Row],[Point of Origin]],Table2[#All],2,0)</f>
        <v>USA</v>
      </c>
      <c r="E421" s="20" t="str">
        <f>VLOOKUP(Table1[[#This Row],[Point of Origin]],Table2[#All],3,0)</f>
        <v>Domestic</v>
      </c>
      <c r="F421" s="27" t="s">
        <v>121</v>
      </c>
      <c r="G421" s="21" t="s">
        <v>122</v>
      </c>
      <c r="H421" s="22">
        <v>68.2</v>
      </c>
      <c r="I421" s="22">
        <f>Table1[[#This Row],[Total Weight Imported (lbs)]]*0.453592</f>
        <v>30.934974400000002</v>
      </c>
      <c r="J421" s="23">
        <v>186</v>
      </c>
      <c r="K421" s="37"/>
    </row>
    <row r="422" spans="1:11" ht="15.75" customHeight="1">
      <c r="A422" s="27" t="s">
        <v>156</v>
      </c>
      <c r="B422" s="27" t="s">
        <v>28</v>
      </c>
      <c r="C422" s="27" t="s">
        <v>14</v>
      </c>
      <c r="D422" s="20" t="str">
        <f>VLOOKUP(Table1[[#This Row],[Point of Origin]],Table2[#All],2,0)</f>
        <v>USA</v>
      </c>
      <c r="E422" s="20" t="str">
        <f>VLOOKUP(Table1[[#This Row],[Point of Origin]],Table2[#All],3,0)</f>
        <v>Domestic</v>
      </c>
      <c r="F422" s="20" t="s">
        <v>61</v>
      </c>
      <c r="G422" s="21" t="s">
        <v>62</v>
      </c>
      <c r="H422" s="22">
        <v>52</v>
      </c>
      <c r="I422" s="22">
        <f>Table1[[#This Row],[Total Weight Imported (lbs)]]*0.453592</f>
        <v>23.586784000000002</v>
      </c>
      <c r="J422" s="23">
        <v>152</v>
      </c>
      <c r="K422" s="38"/>
    </row>
    <row r="423" spans="1:11" ht="15.75" customHeight="1">
      <c r="A423" s="27" t="s">
        <v>156</v>
      </c>
      <c r="B423" s="27" t="s">
        <v>28</v>
      </c>
      <c r="C423" s="27" t="s">
        <v>14</v>
      </c>
      <c r="D423" s="20" t="str">
        <f>VLOOKUP(Table1[[#This Row],[Point of Origin]],Table2[#All],2,0)</f>
        <v>USA</v>
      </c>
      <c r="E423" s="20" t="str">
        <f>VLOOKUP(Table1[[#This Row],[Point of Origin]],Table2[#All],3,0)</f>
        <v>Domestic</v>
      </c>
      <c r="F423" s="20" t="s">
        <v>83</v>
      </c>
      <c r="G423" s="21" t="s">
        <v>32</v>
      </c>
      <c r="H423" s="22">
        <v>14</v>
      </c>
      <c r="I423" s="22">
        <f>Table1[[#This Row],[Total Weight Imported (lbs)]]*0.453592</f>
        <v>6.3502879999999999</v>
      </c>
      <c r="J423" s="23">
        <v>40</v>
      </c>
      <c r="K423" s="38"/>
    </row>
    <row r="424" spans="1:11" ht="15.75" customHeight="1">
      <c r="A424" s="27" t="s">
        <v>156</v>
      </c>
      <c r="B424" s="27" t="s">
        <v>28</v>
      </c>
      <c r="C424" s="27" t="s">
        <v>14</v>
      </c>
      <c r="D424" s="20" t="str">
        <f>VLOOKUP(Table1[[#This Row],[Point of Origin]],Table2[#All],2,0)</f>
        <v>USA</v>
      </c>
      <c r="E424" s="20" t="str">
        <f>VLOOKUP(Table1[[#This Row],[Point of Origin]],Table2[#All],3,0)</f>
        <v>Domestic</v>
      </c>
      <c r="F424" s="27" t="s">
        <v>163</v>
      </c>
      <c r="G424" s="21" t="s">
        <v>164</v>
      </c>
      <c r="H424" s="22">
        <v>10</v>
      </c>
      <c r="I424" s="22">
        <f>Table1[[#This Row],[Total Weight Imported (lbs)]]*0.453592</f>
        <v>4.53592</v>
      </c>
      <c r="J424" s="23">
        <v>40</v>
      </c>
      <c r="K424" s="38"/>
    </row>
    <row r="425" spans="1:11" ht="15.75" customHeight="1">
      <c r="A425" s="27" t="s">
        <v>156</v>
      </c>
      <c r="B425" s="27" t="s">
        <v>28</v>
      </c>
      <c r="C425" s="27" t="s">
        <v>14</v>
      </c>
      <c r="D425" s="20" t="str">
        <f>VLOOKUP(Table1[[#This Row],[Point of Origin]],Table2[#All],2,0)</f>
        <v>USA</v>
      </c>
      <c r="E425" s="20" t="str">
        <f>VLOOKUP(Table1[[#This Row],[Point of Origin]],Table2[#All],3,0)</f>
        <v>Domestic</v>
      </c>
      <c r="F425" s="20" t="s">
        <v>130</v>
      </c>
      <c r="G425" s="21" t="s">
        <v>131</v>
      </c>
      <c r="H425" s="22">
        <v>120</v>
      </c>
      <c r="I425" s="22">
        <f>Table1[[#This Row],[Total Weight Imported (lbs)]]*0.453592</f>
        <v>54.431039999999996</v>
      </c>
      <c r="J425" s="23">
        <v>160</v>
      </c>
      <c r="K425" s="37"/>
    </row>
    <row r="426" spans="1:11" ht="15.75" customHeight="1">
      <c r="A426" s="27" t="s">
        <v>156</v>
      </c>
      <c r="B426" s="27" t="s">
        <v>28</v>
      </c>
      <c r="C426" s="27" t="s">
        <v>14</v>
      </c>
      <c r="D426" s="20" t="str">
        <f>VLOOKUP(Table1[[#This Row],[Point of Origin]],Table2[#All],2,0)</f>
        <v>USA</v>
      </c>
      <c r="E426" s="20" t="str">
        <f>VLOOKUP(Table1[[#This Row],[Point of Origin]],Table2[#All],3,0)</f>
        <v>Domestic</v>
      </c>
      <c r="F426" s="27" t="s">
        <v>141</v>
      </c>
      <c r="G426" s="21" t="s">
        <v>142</v>
      </c>
      <c r="H426" s="22">
        <v>25</v>
      </c>
      <c r="I426" s="22">
        <f>Table1[[#This Row],[Total Weight Imported (lbs)]]*0.453592</f>
        <v>11.3398</v>
      </c>
      <c r="J426" s="23">
        <v>32</v>
      </c>
      <c r="K426" s="38"/>
    </row>
    <row r="427" spans="1:11" ht="15.75" customHeight="1">
      <c r="A427" s="27" t="s">
        <v>156</v>
      </c>
      <c r="B427" s="27" t="s">
        <v>28</v>
      </c>
      <c r="C427" s="27" t="s">
        <v>14</v>
      </c>
      <c r="D427" s="20" t="str">
        <f>VLOOKUP(Table1[[#This Row],[Point of Origin]],Table2[#All],2,0)</f>
        <v>USA</v>
      </c>
      <c r="E427" s="20" t="str">
        <f>VLOOKUP(Table1[[#This Row],[Point of Origin]],Table2[#All],3,0)</f>
        <v>Domestic</v>
      </c>
      <c r="F427" s="20" t="s">
        <v>128</v>
      </c>
      <c r="G427" s="21" t="s">
        <v>129</v>
      </c>
      <c r="H427" s="22">
        <v>118</v>
      </c>
      <c r="I427" s="22">
        <f>Table1[[#This Row],[Total Weight Imported (lbs)]]*0.453592</f>
        <v>53.523856000000002</v>
      </c>
      <c r="J427" s="23">
        <v>195</v>
      </c>
      <c r="K427" s="38"/>
    </row>
    <row r="428" spans="1:11" ht="15.75" customHeight="1">
      <c r="A428" s="27" t="s">
        <v>156</v>
      </c>
      <c r="B428" s="27" t="s">
        <v>28</v>
      </c>
      <c r="C428" s="27" t="s">
        <v>14</v>
      </c>
      <c r="D428" s="20" t="str">
        <f>VLOOKUP(Table1[[#This Row],[Point of Origin]],Table2[#All],2,0)</f>
        <v>USA</v>
      </c>
      <c r="E428" s="20" t="str">
        <f>VLOOKUP(Table1[[#This Row],[Point of Origin]],Table2[#All],3,0)</f>
        <v>Domestic</v>
      </c>
      <c r="F428" s="20" t="s">
        <v>128</v>
      </c>
      <c r="G428" s="21" t="s">
        <v>129</v>
      </c>
      <c r="H428" s="22">
        <v>117</v>
      </c>
      <c r="I428" s="22">
        <f>Table1[[#This Row],[Total Weight Imported (lbs)]]*0.453592</f>
        <v>53.070264000000002</v>
      </c>
      <c r="J428" s="23">
        <v>180</v>
      </c>
      <c r="K428" s="38"/>
    </row>
    <row r="429" spans="1:11" ht="15.75" customHeight="1">
      <c r="A429" s="28" t="s">
        <v>181</v>
      </c>
      <c r="B429" s="28" t="s">
        <v>28</v>
      </c>
      <c r="C429" s="28" t="s">
        <v>14</v>
      </c>
      <c r="D429" s="28" t="str">
        <f>VLOOKUP(Table1[[#This Row],[Point of Origin]],Table2[#All],2,0)</f>
        <v>USA</v>
      </c>
      <c r="E429" s="28" t="str">
        <f>VLOOKUP(Table1[[#This Row],[Point of Origin]],Table2[#All],3,0)</f>
        <v>Domestic</v>
      </c>
      <c r="F429" s="28" t="s">
        <v>121</v>
      </c>
      <c r="G429" s="21" t="s">
        <v>122</v>
      </c>
      <c r="H429" s="22">
        <v>76</v>
      </c>
      <c r="I429" s="22">
        <f>Table1[[#This Row],[Total Weight Imported (lbs)]]*0.453592</f>
        <v>34.472991999999998</v>
      </c>
      <c r="J429" s="23">
        <v>70.5</v>
      </c>
      <c r="K429" s="37"/>
    </row>
    <row r="430" spans="1:11" ht="15.75" customHeight="1">
      <c r="A430" s="28" t="s">
        <v>181</v>
      </c>
      <c r="B430" s="28" t="s">
        <v>28</v>
      </c>
      <c r="C430" s="28" t="s">
        <v>14</v>
      </c>
      <c r="D430" s="28" t="str">
        <f>VLOOKUP(Table1[[#This Row],[Point of Origin]],Table2[#All],2,0)</f>
        <v>USA</v>
      </c>
      <c r="E430" s="28" t="str">
        <f>VLOOKUP(Table1[[#This Row],[Point of Origin]],Table2[#All],3,0)</f>
        <v>Domestic</v>
      </c>
      <c r="F430" s="28" t="s">
        <v>121</v>
      </c>
      <c r="G430" s="21" t="s">
        <v>122</v>
      </c>
      <c r="H430" s="22">
        <v>1064</v>
      </c>
      <c r="I430" s="22">
        <f>Table1[[#This Row],[Total Weight Imported (lbs)]]*0.453592</f>
        <v>482.62188800000001</v>
      </c>
      <c r="J430" s="23">
        <v>749</v>
      </c>
      <c r="K430" s="37"/>
    </row>
    <row r="431" spans="1:11" ht="15.75" customHeight="1">
      <c r="A431" s="28" t="s">
        <v>181</v>
      </c>
      <c r="B431" s="28" t="s">
        <v>28</v>
      </c>
      <c r="C431" s="28" t="s">
        <v>14</v>
      </c>
      <c r="D431" s="28" t="str">
        <f>VLOOKUP(Table1[[#This Row],[Point of Origin]],Table2[#All],2,0)</f>
        <v>USA</v>
      </c>
      <c r="E431" s="28" t="str">
        <f>VLOOKUP(Table1[[#This Row],[Point of Origin]],Table2[#All],3,0)</f>
        <v>Domestic</v>
      </c>
      <c r="F431" s="28" t="s">
        <v>121</v>
      </c>
      <c r="G431" s="21" t="s">
        <v>122</v>
      </c>
      <c r="H431" s="22">
        <v>114</v>
      </c>
      <c r="I431" s="22">
        <f>Table1[[#This Row],[Total Weight Imported (lbs)]]*0.453592</f>
        <v>51.709488</v>
      </c>
      <c r="J431" s="23">
        <v>120.45</v>
      </c>
      <c r="K431" s="37"/>
    </row>
    <row r="432" spans="1:11" ht="15.75" customHeight="1">
      <c r="A432" s="28" t="s">
        <v>181</v>
      </c>
      <c r="B432" s="28" t="s">
        <v>28</v>
      </c>
      <c r="C432" s="28" t="s">
        <v>14</v>
      </c>
      <c r="D432" s="28" t="str">
        <f>VLOOKUP(Table1[[#This Row],[Point of Origin]],Table2[#All],2,0)</f>
        <v>USA</v>
      </c>
      <c r="E432" s="28" t="str">
        <f>VLOOKUP(Table1[[#This Row],[Point of Origin]],Table2[#All],3,0)</f>
        <v>Domestic</v>
      </c>
      <c r="F432" s="28" t="s">
        <v>82</v>
      </c>
      <c r="G432" s="21" t="s">
        <v>20</v>
      </c>
      <c r="H432" s="22">
        <v>50</v>
      </c>
      <c r="I432" s="22">
        <f>Table1[[#This Row],[Total Weight Imported (lbs)]]*0.453592</f>
        <v>22.679600000000001</v>
      </c>
      <c r="J432" s="23">
        <v>48.8</v>
      </c>
      <c r="K432" s="38"/>
    </row>
    <row r="433" spans="1:11" ht="15.75" customHeight="1">
      <c r="A433" s="28" t="s">
        <v>181</v>
      </c>
      <c r="B433" s="28" t="s">
        <v>28</v>
      </c>
      <c r="C433" s="28" t="s">
        <v>14</v>
      </c>
      <c r="D433" s="28" t="str">
        <f>VLOOKUP(Table1[[#This Row],[Point of Origin]],Table2[#All],2,0)</f>
        <v>USA</v>
      </c>
      <c r="E433" s="28" t="str">
        <f>VLOOKUP(Table1[[#This Row],[Point of Origin]],Table2[#All],3,0)</f>
        <v>Domestic</v>
      </c>
      <c r="F433" s="28" t="s">
        <v>82</v>
      </c>
      <c r="G433" s="21" t="s">
        <v>20</v>
      </c>
      <c r="H433" s="22">
        <v>50</v>
      </c>
      <c r="I433" s="22">
        <f>Table1[[#This Row],[Total Weight Imported (lbs)]]*0.453592</f>
        <v>22.679600000000001</v>
      </c>
      <c r="J433" s="23">
        <v>48.8</v>
      </c>
      <c r="K433" s="38"/>
    </row>
    <row r="434" spans="1:11" ht="15.75" customHeight="1">
      <c r="A434" s="28" t="s">
        <v>181</v>
      </c>
      <c r="B434" s="28" t="s">
        <v>28</v>
      </c>
      <c r="C434" s="28" t="s">
        <v>14</v>
      </c>
      <c r="D434" s="28" t="str">
        <f>VLOOKUP(Table1[[#This Row],[Point of Origin]],Table2[#All],2,0)</f>
        <v>USA</v>
      </c>
      <c r="E434" s="28" t="str">
        <f>VLOOKUP(Table1[[#This Row],[Point of Origin]],Table2[#All],3,0)</f>
        <v>Domestic</v>
      </c>
      <c r="F434" s="28" t="s">
        <v>82</v>
      </c>
      <c r="G434" s="21" t="s">
        <v>20</v>
      </c>
      <c r="H434" s="22">
        <v>165</v>
      </c>
      <c r="I434" s="22">
        <f>Table1[[#This Row],[Total Weight Imported (lbs)]]*0.453592</f>
        <v>74.842680000000001</v>
      </c>
      <c r="J434" s="23">
        <v>84.15</v>
      </c>
      <c r="K434" s="38"/>
    </row>
    <row r="435" spans="1:11" ht="15.75" customHeight="1">
      <c r="A435" s="28" t="s">
        <v>181</v>
      </c>
      <c r="B435" s="28" t="s">
        <v>28</v>
      </c>
      <c r="C435" s="28" t="s">
        <v>14</v>
      </c>
      <c r="D435" s="28" t="str">
        <f>VLOOKUP(Table1[[#This Row],[Point of Origin]],Table2[#All],2,0)</f>
        <v>USA</v>
      </c>
      <c r="E435" s="28" t="str">
        <f>VLOOKUP(Table1[[#This Row],[Point of Origin]],Table2[#All],3,0)</f>
        <v>Domestic</v>
      </c>
      <c r="F435" s="36" t="s">
        <v>139</v>
      </c>
      <c r="G435" s="21" t="s">
        <v>140</v>
      </c>
      <c r="H435" s="22">
        <v>259</v>
      </c>
      <c r="I435" s="22">
        <f>Table1[[#This Row],[Total Weight Imported (lbs)]]*0.453592</f>
        <v>117.480328</v>
      </c>
      <c r="J435" s="23">
        <v>222</v>
      </c>
      <c r="K435" s="38"/>
    </row>
    <row r="436" spans="1:11" ht="15.75" customHeight="1">
      <c r="A436" s="28" t="s">
        <v>181</v>
      </c>
      <c r="B436" s="28" t="s">
        <v>28</v>
      </c>
      <c r="C436" s="28" t="s">
        <v>14</v>
      </c>
      <c r="D436" s="28" t="str">
        <f>VLOOKUP(Table1[[#This Row],[Point of Origin]],Table2[#All],2,0)</f>
        <v>USA</v>
      </c>
      <c r="E436" s="28" t="str">
        <f>VLOOKUP(Table1[[#This Row],[Point of Origin]],Table2[#All],3,0)</f>
        <v>Domestic</v>
      </c>
      <c r="F436" s="28" t="s">
        <v>154</v>
      </c>
      <c r="G436" s="21" t="s">
        <v>155</v>
      </c>
      <c r="H436" s="22">
        <v>216</v>
      </c>
      <c r="I436" s="22">
        <f>Table1[[#This Row],[Total Weight Imported (lbs)]]*0.453592</f>
        <v>97.975871999999995</v>
      </c>
      <c r="J436" s="23">
        <v>233.4</v>
      </c>
      <c r="K436" s="37"/>
    </row>
    <row r="437" spans="1:11" ht="15.75" customHeight="1">
      <c r="A437" s="28" t="s">
        <v>181</v>
      </c>
      <c r="B437" s="28" t="s">
        <v>28</v>
      </c>
      <c r="C437" s="28" t="s">
        <v>14</v>
      </c>
      <c r="D437" s="28" t="str">
        <f>VLOOKUP(Table1[[#This Row],[Point of Origin]],Table2[#All],2,0)</f>
        <v>USA</v>
      </c>
      <c r="E437" s="28" t="str">
        <f>VLOOKUP(Table1[[#This Row],[Point of Origin]],Table2[#All],3,0)</f>
        <v>Domestic</v>
      </c>
      <c r="F437" s="36" t="s">
        <v>96</v>
      </c>
      <c r="G437" s="21" t="s">
        <v>97</v>
      </c>
      <c r="H437" s="22">
        <v>30</v>
      </c>
      <c r="I437" s="22">
        <f>Table1[[#This Row],[Total Weight Imported (lbs)]]*0.453592</f>
        <v>13.607759999999999</v>
      </c>
      <c r="J437" s="23">
        <v>98.1</v>
      </c>
      <c r="K437" s="37"/>
    </row>
    <row r="438" spans="1:11" ht="15.75" customHeight="1">
      <c r="A438" s="28" t="s">
        <v>181</v>
      </c>
      <c r="B438" s="28" t="s">
        <v>28</v>
      </c>
      <c r="C438" s="28" t="s">
        <v>14</v>
      </c>
      <c r="D438" s="28" t="str">
        <f>VLOOKUP(Table1[[#This Row],[Point of Origin]],Table2[#All],2,0)</f>
        <v>USA</v>
      </c>
      <c r="E438" s="28" t="str">
        <f>VLOOKUP(Table1[[#This Row],[Point of Origin]],Table2[#All],3,0)</f>
        <v>Domestic</v>
      </c>
      <c r="F438" s="28" t="s">
        <v>43</v>
      </c>
      <c r="G438" s="21" t="s">
        <v>44</v>
      </c>
      <c r="H438" s="22">
        <v>1040</v>
      </c>
      <c r="I438" s="22">
        <f>Table1[[#This Row],[Total Weight Imported (lbs)]]*0.453592</f>
        <v>471.73568</v>
      </c>
      <c r="J438" s="23">
        <v>1158.3</v>
      </c>
      <c r="K438" s="41"/>
    </row>
    <row r="439" spans="1:11" ht="15.75" customHeight="1">
      <c r="A439" s="28" t="s">
        <v>181</v>
      </c>
      <c r="B439" s="28" t="s">
        <v>28</v>
      </c>
      <c r="C439" s="28" t="s">
        <v>14</v>
      </c>
      <c r="D439" s="28" t="str">
        <f>VLOOKUP(Table1[[#This Row],[Point of Origin]],Table2[#All],2,0)</f>
        <v>USA</v>
      </c>
      <c r="E439" s="28" t="str">
        <f>VLOOKUP(Table1[[#This Row],[Point of Origin]],Table2[#All],3,0)</f>
        <v>Domestic</v>
      </c>
      <c r="F439" s="28" t="s">
        <v>40</v>
      </c>
      <c r="G439" s="21" t="s">
        <v>41</v>
      </c>
      <c r="H439" s="22">
        <v>500</v>
      </c>
      <c r="I439" s="22">
        <f>Table1[[#This Row],[Total Weight Imported (lbs)]]*0.453592</f>
        <v>226.79599999999999</v>
      </c>
      <c r="J439" s="23">
        <v>366</v>
      </c>
      <c r="K439" s="41"/>
    </row>
    <row r="440" spans="1:11" ht="15.75" customHeight="1">
      <c r="A440" s="28" t="s">
        <v>181</v>
      </c>
      <c r="B440" s="28" t="s">
        <v>28</v>
      </c>
      <c r="C440" s="28" t="s">
        <v>14</v>
      </c>
      <c r="D440" s="28" t="str">
        <f>VLOOKUP(Table1[[#This Row],[Point of Origin]],Table2[#All],2,0)</f>
        <v>USA</v>
      </c>
      <c r="E440" s="28" t="str">
        <f>VLOOKUP(Table1[[#This Row],[Point of Origin]],Table2[#All],3,0)</f>
        <v>Domestic</v>
      </c>
      <c r="F440" s="36" t="s">
        <v>157</v>
      </c>
      <c r="G440" s="21" t="s">
        <v>127</v>
      </c>
      <c r="H440" s="22">
        <v>3276</v>
      </c>
      <c r="I440" s="22">
        <f>Table1[[#This Row],[Total Weight Imported (lbs)]]*0.453592</f>
        <v>1485.967392</v>
      </c>
      <c r="J440" s="23">
        <v>2217.15</v>
      </c>
      <c r="K440" s="41"/>
    </row>
    <row r="441" spans="1:11" ht="15.75" customHeight="1">
      <c r="A441" s="28" t="s">
        <v>181</v>
      </c>
      <c r="B441" s="28" t="s">
        <v>28</v>
      </c>
      <c r="C441" s="28" t="s">
        <v>14</v>
      </c>
      <c r="D441" s="28" t="str">
        <f>VLOOKUP(Table1[[#This Row],[Point of Origin]],Table2[#All],2,0)</f>
        <v>USA</v>
      </c>
      <c r="E441" s="28" t="str">
        <f>VLOOKUP(Table1[[#This Row],[Point of Origin]],Table2[#All],3,0)</f>
        <v>Domestic</v>
      </c>
      <c r="F441" s="36" t="s">
        <v>163</v>
      </c>
      <c r="G441" s="21" t="s">
        <v>164</v>
      </c>
      <c r="H441" s="22">
        <v>30</v>
      </c>
      <c r="I441" s="22">
        <f>Table1[[#This Row],[Total Weight Imported (lbs)]]*0.453592</f>
        <v>13.607759999999999</v>
      </c>
      <c r="J441" s="23">
        <v>88.25</v>
      </c>
      <c r="K441" s="41"/>
    </row>
    <row r="442" spans="1:11" ht="15.75" customHeight="1">
      <c r="A442" s="28" t="s">
        <v>181</v>
      </c>
      <c r="B442" s="28" t="s">
        <v>28</v>
      </c>
      <c r="C442" s="28" t="s">
        <v>14</v>
      </c>
      <c r="D442" s="28" t="str">
        <f>VLOOKUP(Table1[[#This Row],[Point of Origin]],Table2[#All],2,0)</f>
        <v>USA</v>
      </c>
      <c r="E442" s="28" t="str">
        <f>VLOOKUP(Table1[[#This Row],[Point of Origin]],Table2[#All],3,0)</f>
        <v>Domestic</v>
      </c>
      <c r="F442" s="28" t="s">
        <v>143</v>
      </c>
      <c r="G442" s="21" t="s">
        <v>144</v>
      </c>
      <c r="H442" s="22">
        <v>266</v>
      </c>
      <c r="I442" s="22">
        <f>Table1[[#This Row],[Total Weight Imported (lbs)]]*0.453592</f>
        <v>120.655472</v>
      </c>
      <c r="J442" s="23">
        <v>414.05</v>
      </c>
      <c r="K442" s="41"/>
    </row>
    <row r="443" spans="1:11" ht="15.75" customHeight="1">
      <c r="A443" s="28" t="s">
        <v>181</v>
      </c>
      <c r="B443" s="28" t="s">
        <v>28</v>
      </c>
      <c r="C443" s="28" t="s">
        <v>14</v>
      </c>
      <c r="D443" s="28" t="str">
        <f>VLOOKUP(Table1[[#This Row],[Point of Origin]],Table2[#All],2,0)</f>
        <v>USA</v>
      </c>
      <c r="E443" s="28" t="str">
        <f>VLOOKUP(Table1[[#This Row],[Point of Origin]],Table2[#All],3,0)</f>
        <v>Domestic</v>
      </c>
      <c r="F443" s="36" t="s">
        <v>158</v>
      </c>
      <c r="G443" s="21" t="s">
        <v>127</v>
      </c>
      <c r="H443" s="22">
        <v>2380</v>
      </c>
      <c r="I443" s="22">
        <f>Table1[[#This Row],[Total Weight Imported (lbs)]]*0.453592</f>
        <v>1079.5489600000001</v>
      </c>
      <c r="J443" s="23">
        <v>1610.75</v>
      </c>
      <c r="K443" s="41"/>
    </row>
    <row r="444" spans="1:11" ht="15.75" customHeight="1">
      <c r="A444" s="28" t="s">
        <v>181</v>
      </c>
      <c r="B444" s="28" t="s">
        <v>28</v>
      </c>
      <c r="C444" s="28" t="s">
        <v>14</v>
      </c>
      <c r="D444" s="28" t="str">
        <f>VLOOKUP(Table1[[#This Row],[Point of Origin]],Table2[#All],2,0)</f>
        <v>USA</v>
      </c>
      <c r="E444" s="28" t="str">
        <f>VLOOKUP(Table1[[#This Row],[Point of Origin]],Table2[#All],3,0)</f>
        <v>Domestic</v>
      </c>
      <c r="F444" s="36" t="s">
        <v>137</v>
      </c>
      <c r="G444" s="21" t="s">
        <v>138</v>
      </c>
      <c r="H444" s="22">
        <v>280</v>
      </c>
      <c r="I444" s="22">
        <f>Table1[[#This Row],[Total Weight Imported (lbs)]]*0.453592</f>
        <v>127.00576</v>
      </c>
      <c r="J444" s="23">
        <v>290.5</v>
      </c>
      <c r="K444" s="1"/>
    </row>
    <row r="445" spans="1:11" ht="15.75" customHeight="1">
      <c r="A445" s="28" t="s">
        <v>181</v>
      </c>
      <c r="B445" s="28" t="s">
        <v>28</v>
      </c>
      <c r="C445" s="28" t="s">
        <v>14</v>
      </c>
      <c r="D445" s="28" t="str">
        <f>VLOOKUP(Table1[[#This Row],[Point of Origin]],Table2[#All],2,0)</f>
        <v>USA</v>
      </c>
      <c r="E445" s="28" t="str">
        <f>VLOOKUP(Table1[[#This Row],[Point of Origin]],Table2[#All],3,0)</f>
        <v>Domestic</v>
      </c>
      <c r="F445" s="28" t="s">
        <v>76</v>
      </c>
      <c r="G445" s="21" t="s">
        <v>77</v>
      </c>
      <c r="H445" s="22">
        <v>75</v>
      </c>
      <c r="I445" s="22">
        <f>Table1[[#This Row],[Total Weight Imported (lbs)]]*0.453592</f>
        <v>34.019399999999997</v>
      </c>
      <c r="J445" s="23">
        <v>115.5</v>
      </c>
      <c r="K445" s="1"/>
    </row>
    <row r="446" spans="1:11" ht="15.75" customHeight="1">
      <c r="A446" s="28" t="s">
        <v>181</v>
      </c>
      <c r="B446" s="28" t="s">
        <v>28</v>
      </c>
      <c r="C446" s="28" t="s">
        <v>14</v>
      </c>
      <c r="D446" s="28" t="str">
        <f>VLOOKUP(Table1[[#This Row],[Point of Origin]],Table2[#All],2,0)</f>
        <v>USA</v>
      </c>
      <c r="E446" s="28" t="str">
        <f>VLOOKUP(Table1[[#This Row],[Point of Origin]],Table2[#All],3,0)</f>
        <v>Domestic</v>
      </c>
      <c r="F446" s="28" t="s">
        <v>76</v>
      </c>
      <c r="G446" s="21" t="s">
        <v>77</v>
      </c>
      <c r="H446" s="22">
        <v>75</v>
      </c>
      <c r="I446" s="22">
        <f>Table1[[#This Row],[Total Weight Imported (lbs)]]*0.453592</f>
        <v>34.019399999999997</v>
      </c>
      <c r="J446" s="23">
        <v>115.5</v>
      </c>
      <c r="K446" s="1"/>
    </row>
    <row r="447" spans="1:11" ht="15.75" customHeight="1">
      <c r="A447" s="28" t="s">
        <v>181</v>
      </c>
      <c r="B447" s="28" t="s">
        <v>28</v>
      </c>
      <c r="C447" s="28" t="s">
        <v>14</v>
      </c>
      <c r="D447" s="28" t="str">
        <f>VLOOKUP(Table1[[#This Row],[Point of Origin]],Table2[#All],2,0)</f>
        <v>USA</v>
      </c>
      <c r="E447" s="28" t="str">
        <f>VLOOKUP(Table1[[#This Row],[Point of Origin]],Table2[#All],3,0)</f>
        <v>Domestic</v>
      </c>
      <c r="F447" s="36" t="s">
        <v>141</v>
      </c>
      <c r="G447" s="21" t="s">
        <v>142</v>
      </c>
      <c r="H447" s="22">
        <v>250</v>
      </c>
      <c r="I447" s="22">
        <f>Table1[[#This Row],[Total Weight Imported (lbs)]]*0.453592</f>
        <v>113.398</v>
      </c>
      <c r="J447" s="23">
        <v>137.25</v>
      </c>
      <c r="K447" s="41"/>
    </row>
    <row r="448" spans="1:11" ht="15.75" customHeight="1">
      <c r="A448" s="28" t="s">
        <v>181</v>
      </c>
      <c r="B448" s="28" t="s">
        <v>28</v>
      </c>
      <c r="C448" s="28" t="s">
        <v>14</v>
      </c>
      <c r="D448" s="28" t="str">
        <f>VLOOKUP(Table1[[#This Row],[Point of Origin]],Table2[#All],2,0)</f>
        <v>USA</v>
      </c>
      <c r="E448" s="28" t="str">
        <f>VLOOKUP(Table1[[#This Row],[Point of Origin]],Table2[#All],3,0)</f>
        <v>Domestic</v>
      </c>
      <c r="F448" s="36" t="s">
        <v>141</v>
      </c>
      <c r="G448" s="21" t="s">
        <v>142</v>
      </c>
      <c r="H448" s="22">
        <v>80</v>
      </c>
      <c r="I448" s="22">
        <f>Table1[[#This Row],[Total Weight Imported (lbs)]]*0.453592</f>
        <v>36.28736</v>
      </c>
      <c r="J448" s="23">
        <v>69.599999999999994</v>
      </c>
      <c r="K448" s="41"/>
    </row>
    <row r="449" spans="1:11" ht="15.75" customHeight="1">
      <c r="A449" s="28" t="s">
        <v>181</v>
      </c>
      <c r="B449" s="28" t="s">
        <v>28</v>
      </c>
      <c r="C449" s="28" t="s">
        <v>14</v>
      </c>
      <c r="D449" s="28" t="str">
        <f>VLOOKUP(Table1[[#This Row],[Point of Origin]],Table2[#All],2,0)</f>
        <v>USA</v>
      </c>
      <c r="E449" s="28" t="str">
        <f>VLOOKUP(Table1[[#This Row],[Point of Origin]],Table2[#All],3,0)</f>
        <v>Domestic</v>
      </c>
      <c r="F449" s="36" t="s">
        <v>141</v>
      </c>
      <c r="G449" s="21" t="s">
        <v>142</v>
      </c>
      <c r="H449" s="22">
        <v>500</v>
      </c>
      <c r="I449" s="22">
        <f>Table1[[#This Row],[Total Weight Imported (lbs)]]*0.453592</f>
        <v>226.79599999999999</v>
      </c>
      <c r="J449" s="23">
        <v>146.5</v>
      </c>
      <c r="K449" s="41"/>
    </row>
    <row r="450" spans="1:11" ht="15.75" customHeight="1">
      <c r="A450" s="28" t="s">
        <v>181</v>
      </c>
      <c r="B450" s="28" t="s">
        <v>28</v>
      </c>
      <c r="C450" s="28" t="s">
        <v>14</v>
      </c>
      <c r="D450" s="28" t="str">
        <f>VLOOKUP(Table1[[#This Row],[Point of Origin]],Table2[#All],2,0)</f>
        <v>USA</v>
      </c>
      <c r="E450" s="28" t="str">
        <f>VLOOKUP(Table1[[#This Row],[Point of Origin]],Table2[#All],3,0)</f>
        <v>Domestic</v>
      </c>
      <c r="F450" s="36" t="s">
        <v>141</v>
      </c>
      <c r="G450" s="21" t="s">
        <v>142</v>
      </c>
      <c r="H450" s="22">
        <v>300</v>
      </c>
      <c r="I450" s="22">
        <f>Table1[[#This Row],[Total Weight Imported (lbs)]]*0.453592</f>
        <v>136.07759999999999</v>
      </c>
      <c r="J450" s="23">
        <v>99</v>
      </c>
      <c r="K450" s="41"/>
    </row>
    <row r="451" spans="1:11" ht="15.75" customHeight="1">
      <c r="A451" s="28" t="s">
        <v>181</v>
      </c>
      <c r="B451" s="28" t="s">
        <v>28</v>
      </c>
      <c r="C451" s="28" t="s">
        <v>14</v>
      </c>
      <c r="D451" s="28" t="str">
        <f>VLOOKUP(Table1[[#This Row],[Point of Origin]],Table2[#All],2,0)</f>
        <v>USA</v>
      </c>
      <c r="E451" s="28" t="str">
        <f>VLOOKUP(Table1[[#This Row],[Point of Origin]],Table2[#All],3,0)</f>
        <v>Domestic</v>
      </c>
      <c r="F451" s="36" t="s">
        <v>161</v>
      </c>
      <c r="G451" s="21" t="s">
        <v>162</v>
      </c>
      <c r="H451" s="22">
        <v>1480</v>
      </c>
      <c r="I451" s="22">
        <f>Table1[[#This Row],[Total Weight Imported (lbs)]]*0.453592</f>
        <v>671.31615999999997</v>
      </c>
      <c r="J451" s="23">
        <v>976</v>
      </c>
      <c r="K451" s="41"/>
    </row>
    <row r="452" spans="1:11" ht="15.75" customHeight="1">
      <c r="A452" s="27" t="s">
        <v>182</v>
      </c>
      <c r="B452" s="27" t="s">
        <v>28</v>
      </c>
      <c r="C452" s="27" t="s">
        <v>14</v>
      </c>
      <c r="D452" s="20" t="str">
        <f>VLOOKUP(Table1[[#This Row],[Point of Origin]],Table2[#All],2,0)</f>
        <v>USA</v>
      </c>
      <c r="E452" s="20" t="str">
        <f>VLOOKUP(Table1[[#This Row],[Point of Origin]],Table2[#All],3,0)</f>
        <v>Domestic</v>
      </c>
      <c r="F452" s="20" t="s">
        <v>15</v>
      </c>
      <c r="G452" s="21" t="s">
        <v>16</v>
      </c>
      <c r="H452" s="22">
        <v>770</v>
      </c>
      <c r="I452" s="22">
        <f>Table1[[#This Row],[Total Weight Imported (lbs)]]*0.453592</f>
        <v>349.26583999999997</v>
      </c>
      <c r="J452" s="23">
        <v>2625</v>
      </c>
      <c r="K452" s="41"/>
    </row>
    <row r="453" spans="1:11" ht="15.75" customHeight="1">
      <c r="A453" s="27" t="s">
        <v>182</v>
      </c>
      <c r="B453" s="27" t="s">
        <v>28</v>
      </c>
      <c r="C453" s="27" t="s">
        <v>14</v>
      </c>
      <c r="D453" s="20" t="str">
        <f>VLOOKUP(Table1[[#This Row],[Point of Origin]],Table2[#All],2,0)</f>
        <v>USA</v>
      </c>
      <c r="E453" s="20" t="str">
        <f>VLOOKUP(Table1[[#This Row],[Point of Origin]],Table2[#All],3,0)</f>
        <v>Domestic</v>
      </c>
      <c r="F453" s="20" t="s">
        <v>124</v>
      </c>
      <c r="G453" s="21" t="s">
        <v>30</v>
      </c>
      <c r="H453" s="22">
        <v>200</v>
      </c>
      <c r="I453" s="22">
        <f>Table1[[#This Row],[Total Weight Imported (lbs)]]*0.453592</f>
        <v>90.718400000000003</v>
      </c>
      <c r="J453" s="23">
        <v>282.95999999999998</v>
      </c>
      <c r="K453" s="41"/>
    </row>
    <row r="454" spans="1:11" ht="15.75" customHeight="1">
      <c r="A454" s="27" t="s">
        <v>182</v>
      </c>
      <c r="B454" s="27" t="s">
        <v>28</v>
      </c>
      <c r="C454" s="27" t="s">
        <v>14</v>
      </c>
      <c r="D454" s="20" t="str">
        <f>VLOOKUP(Table1[[#This Row],[Point of Origin]],Table2[#All],2,0)</f>
        <v>USA</v>
      </c>
      <c r="E454" s="20" t="str">
        <f>VLOOKUP(Table1[[#This Row],[Point of Origin]],Table2[#All],3,0)</f>
        <v>Domestic</v>
      </c>
      <c r="F454" s="20" t="s">
        <v>124</v>
      </c>
      <c r="G454" s="21" t="s">
        <v>30</v>
      </c>
      <c r="H454" s="22">
        <v>350</v>
      </c>
      <c r="I454" s="22">
        <f>Table1[[#This Row],[Total Weight Imported (lbs)]]*0.453592</f>
        <v>158.75720000000001</v>
      </c>
      <c r="J454" s="23">
        <v>256.06</v>
      </c>
      <c r="K454" s="41"/>
    </row>
    <row r="455" spans="1:11" ht="15.75" customHeight="1">
      <c r="A455" s="27" t="s">
        <v>182</v>
      </c>
      <c r="B455" s="27" t="s">
        <v>28</v>
      </c>
      <c r="C455" s="27" t="s">
        <v>14</v>
      </c>
      <c r="D455" s="20" t="str">
        <f>VLOOKUP(Table1[[#This Row],[Point of Origin]],Table2[#All],2,0)</f>
        <v>USA</v>
      </c>
      <c r="E455" s="20" t="str">
        <f>VLOOKUP(Table1[[#This Row],[Point of Origin]],Table2[#All],3,0)</f>
        <v>Domestic</v>
      </c>
      <c r="F455" s="20" t="s">
        <v>19</v>
      </c>
      <c r="G455" s="21" t="s">
        <v>20</v>
      </c>
      <c r="H455" s="22">
        <v>3996</v>
      </c>
      <c r="I455" s="22">
        <f>Table1[[#This Row],[Total Weight Imported (lbs)]]*0.453592</f>
        <v>1812.5536319999999</v>
      </c>
      <c r="J455" s="23">
        <v>8797.86</v>
      </c>
      <c r="K455" s="41"/>
    </row>
    <row r="456" spans="1:11" ht="15.75" customHeight="1">
      <c r="A456" s="27" t="s">
        <v>182</v>
      </c>
      <c r="B456" s="27" t="s">
        <v>28</v>
      </c>
      <c r="C456" s="27" t="s">
        <v>14</v>
      </c>
      <c r="D456" s="20" t="str">
        <f>VLOOKUP(Table1[[#This Row],[Point of Origin]],Table2[#All],2,0)</f>
        <v>USA</v>
      </c>
      <c r="E456" s="20" t="str">
        <f>VLOOKUP(Table1[[#This Row],[Point of Origin]],Table2[#All],3,0)</f>
        <v>Domestic</v>
      </c>
      <c r="F456" s="20" t="s">
        <v>21</v>
      </c>
      <c r="G456" s="21" t="s">
        <v>22</v>
      </c>
      <c r="H456" s="22">
        <v>475</v>
      </c>
      <c r="I456" s="22">
        <f>Table1[[#This Row],[Total Weight Imported (lbs)]]*0.453592</f>
        <v>215.4562</v>
      </c>
      <c r="J456" s="23">
        <v>648.85</v>
      </c>
      <c r="K456" s="41"/>
    </row>
    <row r="457" spans="1:11" ht="15.75" customHeight="1">
      <c r="A457" s="27" t="s">
        <v>182</v>
      </c>
      <c r="B457" s="27" t="s">
        <v>28</v>
      </c>
      <c r="C457" s="27" t="s">
        <v>14</v>
      </c>
      <c r="D457" s="20" t="str">
        <f>VLOOKUP(Table1[[#This Row],[Point of Origin]],Table2[#All],2,0)</f>
        <v>USA</v>
      </c>
      <c r="E457" s="20" t="str">
        <f>VLOOKUP(Table1[[#This Row],[Point of Origin]],Table2[#All],3,0)</f>
        <v>Domestic</v>
      </c>
      <c r="F457" s="20" t="s">
        <v>82</v>
      </c>
      <c r="G457" s="21" t="s">
        <v>20</v>
      </c>
      <c r="H457" s="22">
        <v>2850</v>
      </c>
      <c r="I457" s="22">
        <f>Table1[[#This Row],[Total Weight Imported (lbs)]]*0.453592</f>
        <v>1292.7372</v>
      </c>
      <c r="J457" s="23">
        <v>1703.16</v>
      </c>
      <c r="K457" s="41"/>
    </row>
    <row r="458" spans="1:11" ht="15.75" customHeight="1">
      <c r="A458" s="27" t="s">
        <v>182</v>
      </c>
      <c r="B458" s="27" t="s">
        <v>28</v>
      </c>
      <c r="C458" s="27" t="s">
        <v>14</v>
      </c>
      <c r="D458" s="20" t="str">
        <f>VLOOKUP(Table1[[#This Row],[Point of Origin]],Table2[#All],2,0)</f>
        <v>USA</v>
      </c>
      <c r="E458" s="20" t="str">
        <f>VLOOKUP(Table1[[#This Row],[Point of Origin]],Table2[#All],3,0)</f>
        <v>Domestic</v>
      </c>
      <c r="F458" s="20" t="s">
        <v>82</v>
      </c>
      <c r="G458" s="21" t="s">
        <v>20</v>
      </c>
      <c r="H458" s="22">
        <v>3080</v>
      </c>
      <c r="I458" s="22">
        <f>Table1[[#This Row],[Total Weight Imported (lbs)]]*0.453592</f>
        <v>1397.0633599999999</v>
      </c>
      <c r="J458" s="23">
        <v>1963.36</v>
      </c>
      <c r="K458" s="41"/>
    </row>
    <row r="459" spans="1:11" ht="15.75" customHeight="1">
      <c r="A459" s="27" t="s">
        <v>182</v>
      </c>
      <c r="B459" s="27" t="s">
        <v>28</v>
      </c>
      <c r="C459" s="27" t="s">
        <v>14</v>
      </c>
      <c r="D459" s="20" t="str">
        <f>VLOOKUP(Table1[[#This Row],[Point of Origin]],Table2[#All],2,0)</f>
        <v>USA</v>
      </c>
      <c r="E459" s="20" t="str">
        <f>VLOOKUP(Table1[[#This Row],[Point of Origin]],Table2[#All],3,0)</f>
        <v>Domestic</v>
      </c>
      <c r="F459" s="27" t="s">
        <v>148</v>
      </c>
      <c r="G459" s="21" t="s">
        <v>20</v>
      </c>
      <c r="H459" s="22">
        <v>1148</v>
      </c>
      <c r="I459" s="22">
        <f>Table1[[#This Row],[Total Weight Imported (lbs)]]*0.453592</f>
        <v>520.72361599999999</v>
      </c>
      <c r="J459" s="23">
        <v>1599.82</v>
      </c>
      <c r="K459" s="1"/>
    </row>
    <row r="460" spans="1:11" ht="15.75" customHeight="1">
      <c r="A460" s="27" t="s">
        <v>182</v>
      </c>
      <c r="B460" s="27" t="s">
        <v>28</v>
      </c>
      <c r="C460" s="27" t="s">
        <v>14</v>
      </c>
      <c r="D460" s="20" t="str">
        <f>VLOOKUP(Table1[[#This Row],[Point of Origin]],Table2[#All],2,0)</f>
        <v>USA</v>
      </c>
      <c r="E460" s="20" t="str">
        <f>VLOOKUP(Table1[[#This Row],[Point of Origin]],Table2[#All],3,0)</f>
        <v>Domestic</v>
      </c>
      <c r="F460" s="20" t="s">
        <v>82</v>
      </c>
      <c r="G460" s="21" t="s">
        <v>20</v>
      </c>
      <c r="H460" s="22">
        <v>650</v>
      </c>
      <c r="I460" s="22">
        <f>Table1[[#This Row],[Total Weight Imported (lbs)]]*0.453592</f>
        <v>294.83479999999997</v>
      </c>
      <c r="J460" s="23">
        <v>412.23</v>
      </c>
      <c r="K460" s="41"/>
    </row>
    <row r="461" spans="1:11" ht="15.75" customHeight="1">
      <c r="A461" s="27" t="s">
        <v>182</v>
      </c>
      <c r="B461" s="27" t="s">
        <v>28</v>
      </c>
      <c r="C461" s="27" t="s">
        <v>14</v>
      </c>
      <c r="D461" s="20" t="str">
        <f>VLOOKUP(Table1[[#This Row],[Point of Origin]],Table2[#All],2,0)</f>
        <v>USA</v>
      </c>
      <c r="E461" s="20" t="str">
        <f>VLOOKUP(Table1[[#This Row],[Point of Origin]],Table2[#All],3,0)</f>
        <v>Domestic</v>
      </c>
      <c r="F461" s="20" t="s">
        <v>19</v>
      </c>
      <c r="G461" s="21" t="s">
        <v>20</v>
      </c>
      <c r="H461" s="22">
        <v>54</v>
      </c>
      <c r="I461" s="22">
        <f>Table1[[#This Row],[Total Weight Imported (lbs)]]*0.453592</f>
        <v>24.493967999999999</v>
      </c>
      <c r="J461" s="23">
        <v>123.84</v>
      </c>
      <c r="K461" s="41"/>
    </row>
    <row r="462" spans="1:11" ht="15.75" customHeight="1">
      <c r="A462" s="27" t="s">
        <v>182</v>
      </c>
      <c r="B462" s="27" t="s">
        <v>28</v>
      </c>
      <c r="C462" s="27" t="s">
        <v>14</v>
      </c>
      <c r="D462" s="20" t="str">
        <f>VLOOKUP(Table1[[#This Row],[Point of Origin]],Table2[#All],2,0)</f>
        <v>USA</v>
      </c>
      <c r="E462" s="20" t="str">
        <f>VLOOKUP(Table1[[#This Row],[Point of Origin]],Table2[#All],3,0)</f>
        <v>Domestic</v>
      </c>
      <c r="F462" s="20" t="s">
        <v>19</v>
      </c>
      <c r="G462" s="21" t="s">
        <v>20</v>
      </c>
      <c r="H462" s="22">
        <v>72</v>
      </c>
      <c r="I462" s="22">
        <f>Table1[[#This Row],[Total Weight Imported (lbs)]]*0.453592</f>
        <v>32.658624000000003</v>
      </c>
      <c r="J462" s="23">
        <v>165.12</v>
      </c>
      <c r="K462" s="41"/>
    </row>
    <row r="463" spans="1:11" ht="15.75" customHeight="1">
      <c r="A463" s="27" t="s">
        <v>182</v>
      </c>
      <c r="B463" s="27" t="s">
        <v>28</v>
      </c>
      <c r="C463" s="27" t="s">
        <v>14</v>
      </c>
      <c r="D463" s="20" t="str">
        <f>VLOOKUP(Table1[[#This Row],[Point of Origin]],Table2[#All],2,0)</f>
        <v>USA</v>
      </c>
      <c r="E463" s="20" t="str">
        <f>VLOOKUP(Table1[[#This Row],[Point of Origin]],Table2[#All],3,0)</f>
        <v>Domestic</v>
      </c>
      <c r="F463" s="27" t="s">
        <v>109</v>
      </c>
      <c r="G463" s="21" t="s">
        <v>20</v>
      </c>
      <c r="H463" s="22">
        <v>480</v>
      </c>
      <c r="I463" s="22">
        <f>Table1[[#This Row],[Total Weight Imported (lbs)]]*0.453592</f>
        <v>217.72415999999998</v>
      </c>
      <c r="J463" s="23">
        <v>731.7</v>
      </c>
      <c r="K463" s="1"/>
    </row>
    <row r="464" spans="1:11" ht="15.75" customHeight="1">
      <c r="A464" s="27" t="s">
        <v>182</v>
      </c>
      <c r="B464" s="27" t="s">
        <v>28</v>
      </c>
      <c r="C464" s="27" t="s">
        <v>14</v>
      </c>
      <c r="D464" s="20" t="str">
        <f>VLOOKUP(Table1[[#This Row],[Point of Origin]],Table2[#All],2,0)</f>
        <v>USA</v>
      </c>
      <c r="E464" s="20" t="str">
        <f>VLOOKUP(Table1[[#This Row],[Point of Origin]],Table2[#All],3,0)</f>
        <v>Domestic</v>
      </c>
      <c r="F464" s="20" t="s">
        <v>83</v>
      </c>
      <c r="G464" s="21" t="s">
        <v>32</v>
      </c>
      <c r="H464" s="22">
        <v>600</v>
      </c>
      <c r="I464" s="22">
        <f>Table1[[#This Row],[Total Weight Imported (lbs)]]*0.453592</f>
        <v>272.15519999999998</v>
      </c>
      <c r="J464" s="23">
        <v>823.2</v>
      </c>
      <c r="K464" s="41"/>
    </row>
    <row r="465" spans="1:11" ht="15.75" customHeight="1">
      <c r="A465" s="27" t="s">
        <v>182</v>
      </c>
      <c r="B465" s="27" t="s">
        <v>28</v>
      </c>
      <c r="C465" s="27" t="s">
        <v>14</v>
      </c>
      <c r="D465" s="20" t="str">
        <f>VLOOKUP(Table1[[#This Row],[Point of Origin]],Table2[#All],2,0)</f>
        <v>USA</v>
      </c>
      <c r="E465" s="20" t="str">
        <f>VLOOKUP(Table1[[#This Row],[Point of Origin]],Table2[#All],3,0)</f>
        <v>Domestic</v>
      </c>
      <c r="F465" s="20" t="s">
        <v>83</v>
      </c>
      <c r="G465" s="21" t="s">
        <v>32</v>
      </c>
      <c r="H465" s="22">
        <v>480</v>
      </c>
      <c r="I465" s="22">
        <f>Table1[[#This Row],[Total Weight Imported (lbs)]]*0.453592</f>
        <v>217.72415999999998</v>
      </c>
      <c r="J465" s="23">
        <v>739.08</v>
      </c>
      <c r="K465" s="41"/>
    </row>
    <row r="466" spans="1:11" ht="15.75" customHeight="1">
      <c r="A466" s="27" t="s">
        <v>182</v>
      </c>
      <c r="B466" s="27" t="s">
        <v>28</v>
      </c>
      <c r="C466" s="27" t="s">
        <v>14</v>
      </c>
      <c r="D466" s="20" t="str">
        <f>VLOOKUP(Table1[[#This Row],[Point of Origin]],Table2[#All],2,0)</f>
        <v>USA</v>
      </c>
      <c r="E466" s="20" t="str">
        <f>VLOOKUP(Table1[[#This Row],[Point of Origin]],Table2[#All],3,0)</f>
        <v>Domestic</v>
      </c>
      <c r="F466" s="20" t="s">
        <v>26</v>
      </c>
      <c r="G466" s="21" t="s">
        <v>27</v>
      </c>
      <c r="H466" s="22">
        <v>1176</v>
      </c>
      <c r="I466" s="22">
        <f>Table1[[#This Row],[Total Weight Imported (lbs)]]*0.453592</f>
        <v>533.42419199999995</v>
      </c>
      <c r="J466" s="23">
        <v>2330.44</v>
      </c>
      <c r="K466" s="41"/>
    </row>
    <row r="467" spans="1:11" ht="15.75" customHeight="1">
      <c r="A467" s="27" t="s">
        <v>182</v>
      </c>
      <c r="B467" s="27" t="s">
        <v>28</v>
      </c>
      <c r="C467" s="27" t="s">
        <v>14</v>
      </c>
      <c r="D467" s="20" t="str">
        <f>VLOOKUP(Table1[[#This Row],[Point of Origin]],Table2[#All],2,0)</f>
        <v>USA</v>
      </c>
      <c r="E467" s="20" t="str">
        <f>VLOOKUP(Table1[[#This Row],[Point of Origin]],Table2[#All],3,0)</f>
        <v>Domestic</v>
      </c>
      <c r="F467" s="27" t="s">
        <v>183</v>
      </c>
      <c r="G467" s="21" t="s">
        <v>32</v>
      </c>
      <c r="H467" s="22">
        <v>210</v>
      </c>
      <c r="I467" s="22">
        <f>Table1[[#This Row],[Total Weight Imported (lbs)]]*0.453592</f>
        <v>95.254319999999993</v>
      </c>
      <c r="J467" s="23">
        <v>251.37</v>
      </c>
      <c r="K467" s="41"/>
    </row>
    <row r="468" spans="1:11" ht="15.75" customHeight="1">
      <c r="A468" s="27" t="s">
        <v>182</v>
      </c>
      <c r="B468" s="27" t="s">
        <v>28</v>
      </c>
      <c r="C468" s="27" t="s">
        <v>14</v>
      </c>
      <c r="D468" s="20" t="str">
        <f>VLOOKUP(Table1[[#This Row],[Point of Origin]],Table2[#All],2,0)</f>
        <v>USA</v>
      </c>
      <c r="E468" s="20" t="str">
        <f>VLOOKUP(Table1[[#This Row],[Point of Origin]],Table2[#All],3,0)</f>
        <v>Domestic</v>
      </c>
      <c r="F468" s="27" t="s">
        <v>163</v>
      </c>
      <c r="G468" s="21" t="s">
        <v>164</v>
      </c>
      <c r="H468" s="22">
        <v>1950</v>
      </c>
      <c r="I468" s="22">
        <f>Table1[[#This Row],[Total Weight Imported (lbs)]]*0.453592</f>
        <v>884.50440000000003</v>
      </c>
      <c r="J468" s="23">
        <v>3329.3</v>
      </c>
      <c r="K468" s="41"/>
    </row>
    <row r="469" spans="1:11" ht="15.75" customHeight="1">
      <c r="A469" s="27" t="s">
        <v>182</v>
      </c>
      <c r="B469" s="27" t="s">
        <v>28</v>
      </c>
      <c r="C469" s="27" t="s">
        <v>14</v>
      </c>
      <c r="D469" s="20" t="str">
        <f>VLOOKUP(Table1[[#This Row],[Point of Origin]],Table2[#All],2,0)</f>
        <v>USA</v>
      </c>
      <c r="E469" s="20" t="str">
        <f>VLOOKUP(Table1[[#This Row],[Point of Origin]],Table2[#All],3,0)</f>
        <v>Domestic</v>
      </c>
      <c r="F469" s="27" t="s">
        <v>87</v>
      </c>
      <c r="G469" s="21" t="s">
        <v>20</v>
      </c>
      <c r="H469" s="22">
        <v>636</v>
      </c>
      <c r="I469" s="22">
        <f>Table1[[#This Row],[Total Weight Imported (lbs)]]*0.453592</f>
        <v>288.484512</v>
      </c>
      <c r="J469" s="23">
        <v>1066.3599999999999</v>
      </c>
      <c r="K469" s="41"/>
    </row>
    <row r="470" spans="1:11" ht="15.75" customHeight="1">
      <c r="A470" s="27" t="s">
        <v>182</v>
      </c>
      <c r="B470" s="27" t="s">
        <v>28</v>
      </c>
      <c r="C470" s="27" t="s">
        <v>14</v>
      </c>
      <c r="D470" s="20" t="str">
        <f>VLOOKUP(Table1[[#This Row],[Point of Origin]],Table2[#All],2,0)</f>
        <v>USA</v>
      </c>
      <c r="E470" s="20" t="str">
        <f>VLOOKUP(Table1[[#This Row],[Point of Origin]],Table2[#All],3,0)</f>
        <v>Domestic</v>
      </c>
      <c r="F470" s="20" t="s">
        <v>59</v>
      </c>
      <c r="G470" s="21" t="s">
        <v>60</v>
      </c>
      <c r="H470" s="22">
        <f>34+16</f>
        <v>50</v>
      </c>
      <c r="I470" s="22">
        <f>Table1[[#This Row],[Total Weight Imported (lbs)]]*0.453592</f>
        <v>22.679600000000001</v>
      </c>
      <c r="J470" s="23">
        <f>52.32+42.68</f>
        <v>95</v>
      </c>
      <c r="K470" s="41"/>
    </row>
    <row r="471" spans="1:11" ht="15.75" customHeight="1">
      <c r="A471" s="27" t="s">
        <v>182</v>
      </c>
      <c r="B471" s="27" t="s">
        <v>28</v>
      </c>
      <c r="C471" s="27" t="s">
        <v>14</v>
      </c>
      <c r="D471" s="20" t="str">
        <f>VLOOKUP(Table1[[#This Row],[Point of Origin]],Table2[#All],2,0)</f>
        <v>USA</v>
      </c>
      <c r="E471" s="20" t="str">
        <f>VLOOKUP(Table1[[#This Row],[Point of Origin]],Table2[#All],3,0)</f>
        <v>Domestic</v>
      </c>
      <c r="F471" s="27" t="s">
        <v>58</v>
      </c>
      <c r="G471" s="21" t="s">
        <v>34</v>
      </c>
      <c r="H471" s="22">
        <v>80</v>
      </c>
      <c r="I471" s="22">
        <f>Table1[[#This Row],[Total Weight Imported (lbs)]]*0.453592</f>
        <v>36.28736</v>
      </c>
      <c r="J471" s="23">
        <v>136.6</v>
      </c>
      <c r="K471" s="41"/>
    </row>
    <row r="472" spans="1:11" ht="15.75" customHeight="1">
      <c r="A472" s="27" t="s">
        <v>182</v>
      </c>
      <c r="B472" s="27" t="s">
        <v>28</v>
      </c>
      <c r="C472" s="27" t="s">
        <v>14</v>
      </c>
      <c r="D472" s="20" t="str">
        <f>VLOOKUP(Table1[[#This Row],[Point of Origin]],Table2[#All],2,0)</f>
        <v>USA</v>
      </c>
      <c r="E472" s="20" t="str">
        <f>VLOOKUP(Table1[[#This Row],[Point of Origin]],Table2[#All],3,0)</f>
        <v>Domestic</v>
      </c>
      <c r="F472" s="27" t="s">
        <v>58</v>
      </c>
      <c r="G472" s="21" t="s">
        <v>34</v>
      </c>
      <c r="H472" s="22">
        <v>3400</v>
      </c>
      <c r="I472" s="22">
        <f>Table1[[#This Row],[Total Weight Imported (lbs)]]*0.453592</f>
        <v>1542.2128</v>
      </c>
      <c r="J472" s="23">
        <v>3432.3</v>
      </c>
      <c r="K472" s="41"/>
    </row>
    <row r="473" spans="1:11" ht="15.75" customHeight="1">
      <c r="A473" s="27" t="s">
        <v>182</v>
      </c>
      <c r="B473" s="27" t="s">
        <v>28</v>
      </c>
      <c r="C473" s="27" t="s">
        <v>14</v>
      </c>
      <c r="D473" s="20" t="str">
        <f>VLOOKUP(Table1[[#This Row],[Point of Origin]],Table2[#All],2,0)</f>
        <v>USA</v>
      </c>
      <c r="E473" s="20" t="str">
        <f>VLOOKUP(Table1[[#This Row],[Point of Origin]],Table2[#All],3,0)</f>
        <v>Domestic</v>
      </c>
      <c r="F473" s="27" t="s">
        <v>58</v>
      </c>
      <c r="G473" s="21" t="s">
        <v>34</v>
      </c>
      <c r="H473" s="22">
        <v>345</v>
      </c>
      <c r="I473" s="22">
        <f>Table1[[#This Row],[Total Weight Imported (lbs)]]*0.453592</f>
        <v>156.48924</v>
      </c>
      <c r="J473" s="23">
        <v>658.5</v>
      </c>
      <c r="K473" s="41"/>
    </row>
    <row r="474" spans="1:11" ht="15.75" customHeight="1">
      <c r="A474" s="27" t="s">
        <v>182</v>
      </c>
      <c r="B474" s="27" t="s">
        <v>28</v>
      </c>
      <c r="C474" s="27" t="s">
        <v>14</v>
      </c>
      <c r="D474" s="20" t="str">
        <f>VLOOKUP(Table1[[#This Row],[Point of Origin]],Table2[#All],2,0)</f>
        <v>USA</v>
      </c>
      <c r="E474" s="20" t="str">
        <f>VLOOKUP(Table1[[#This Row],[Point of Origin]],Table2[#All],3,0)</f>
        <v>Domestic</v>
      </c>
      <c r="F474" s="20" t="s">
        <v>19</v>
      </c>
      <c r="G474" s="21" t="s">
        <v>20</v>
      </c>
      <c r="H474" s="22">
        <v>18</v>
      </c>
      <c r="I474" s="22">
        <f>Table1[[#This Row],[Total Weight Imported (lbs)]]*0.453592</f>
        <v>8.1646560000000008</v>
      </c>
      <c r="J474" s="23">
        <v>42.5</v>
      </c>
      <c r="K474" s="41"/>
    </row>
    <row r="475" spans="1:11" ht="15.75" customHeight="1">
      <c r="A475" s="27" t="s">
        <v>182</v>
      </c>
      <c r="B475" s="27" t="s">
        <v>28</v>
      </c>
      <c r="C475" s="27" t="s">
        <v>14</v>
      </c>
      <c r="D475" s="20" t="str">
        <f>VLOOKUP(Table1[[#This Row],[Point of Origin]],Table2[#All],2,0)</f>
        <v>USA</v>
      </c>
      <c r="E475" s="20" t="str">
        <f>VLOOKUP(Table1[[#This Row],[Point of Origin]],Table2[#All],3,0)</f>
        <v>Domestic</v>
      </c>
      <c r="F475" s="27" t="s">
        <v>102</v>
      </c>
      <c r="G475" s="21" t="s">
        <v>32</v>
      </c>
      <c r="H475" s="22">
        <v>72</v>
      </c>
      <c r="I475" s="22">
        <f>Table1[[#This Row],[Total Weight Imported (lbs)]]*0.453592</f>
        <v>32.658624000000003</v>
      </c>
      <c r="J475" s="23">
        <v>134.16</v>
      </c>
      <c r="K475" s="41"/>
    </row>
    <row r="476" spans="1:11" ht="15.75" customHeight="1">
      <c r="A476" s="27" t="s">
        <v>182</v>
      </c>
      <c r="B476" s="27" t="s">
        <v>28</v>
      </c>
      <c r="C476" s="27" t="s">
        <v>14</v>
      </c>
      <c r="D476" s="20" t="str">
        <f>VLOOKUP(Table1[[#This Row],[Point of Origin]],Table2[#All],2,0)</f>
        <v>USA</v>
      </c>
      <c r="E476" s="20" t="str">
        <f>VLOOKUP(Table1[[#This Row],[Point of Origin]],Table2[#All],3,0)</f>
        <v>Domestic</v>
      </c>
      <c r="F476" s="27" t="s">
        <v>102</v>
      </c>
      <c r="G476" s="21" t="s">
        <v>32</v>
      </c>
      <c r="H476" s="22">
        <v>108</v>
      </c>
      <c r="I476" s="22">
        <f>Table1[[#This Row],[Total Weight Imported (lbs)]]*0.453592</f>
        <v>48.987935999999998</v>
      </c>
      <c r="J476" s="23">
        <v>197.55</v>
      </c>
      <c r="K476" s="41"/>
    </row>
    <row r="477" spans="1:11" ht="15.75" customHeight="1">
      <c r="A477" s="27" t="s">
        <v>182</v>
      </c>
      <c r="B477" s="27" t="s">
        <v>28</v>
      </c>
      <c r="C477" s="27" t="s">
        <v>14</v>
      </c>
      <c r="D477" s="20" t="str">
        <f>VLOOKUP(Table1[[#This Row],[Point of Origin]],Table2[#All],2,0)</f>
        <v>USA</v>
      </c>
      <c r="E477" s="20" t="str">
        <f>VLOOKUP(Table1[[#This Row],[Point of Origin]],Table2[#All],3,0)</f>
        <v>Domestic</v>
      </c>
      <c r="F477" s="27" t="s">
        <v>169</v>
      </c>
      <c r="G477" s="21" t="s">
        <v>170</v>
      </c>
      <c r="H477" s="22">
        <v>170</v>
      </c>
      <c r="I477" s="22">
        <f>Table1[[#This Row],[Total Weight Imported (lbs)]]*0.453592</f>
        <v>77.110640000000004</v>
      </c>
      <c r="J477" s="23">
        <v>642.6</v>
      </c>
      <c r="K477" s="41"/>
    </row>
    <row r="478" spans="1:11" ht="15.75" customHeight="1">
      <c r="A478" s="27" t="s">
        <v>182</v>
      </c>
      <c r="B478" s="27" t="s">
        <v>28</v>
      </c>
      <c r="C478" s="27" t="s">
        <v>14</v>
      </c>
      <c r="D478" s="20" t="str">
        <f>VLOOKUP(Table1[[#This Row],[Point of Origin]],Table2[#All],2,0)</f>
        <v>USA</v>
      </c>
      <c r="E478" s="20" t="str">
        <f>VLOOKUP(Table1[[#This Row],[Point of Origin]],Table2[#All],3,0)</f>
        <v>Domestic</v>
      </c>
      <c r="F478" s="20" t="s">
        <v>81</v>
      </c>
      <c r="G478" s="21" t="s">
        <v>62</v>
      </c>
      <c r="H478" s="22">
        <v>50</v>
      </c>
      <c r="I478" s="22">
        <f>Table1[[#This Row],[Total Weight Imported (lbs)]]*0.453592</f>
        <v>22.679600000000001</v>
      </c>
      <c r="J478" s="23">
        <v>91.45</v>
      </c>
      <c r="K478" s="41"/>
    </row>
    <row r="479" spans="1:11" ht="15.75" customHeight="1">
      <c r="A479" s="27" t="s">
        <v>182</v>
      </c>
      <c r="B479" s="27" t="s">
        <v>28</v>
      </c>
      <c r="C479" s="27" t="s">
        <v>14</v>
      </c>
      <c r="D479" s="20" t="str">
        <f>VLOOKUP(Table1[[#This Row],[Point of Origin]],Table2[#All],2,0)</f>
        <v>USA</v>
      </c>
      <c r="E479" s="20" t="str">
        <f>VLOOKUP(Table1[[#This Row],[Point of Origin]],Table2[#All],3,0)</f>
        <v>Domestic</v>
      </c>
      <c r="F479" s="20" t="s">
        <v>81</v>
      </c>
      <c r="G479" s="21" t="s">
        <v>62</v>
      </c>
      <c r="H479" s="22">
        <v>40</v>
      </c>
      <c r="I479" s="22">
        <f>Table1[[#This Row],[Total Weight Imported (lbs)]]*0.453592</f>
        <v>18.14368</v>
      </c>
      <c r="J479" s="23">
        <v>146.36000000000001</v>
      </c>
      <c r="K479" s="41"/>
    </row>
    <row r="480" spans="1:11" ht="15.75" customHeight="1">
      <c r="A480" s="27" t="s">
        <v>182</v>
      </c>
      <c r="B480" s="27" t="s">
        <v>28</v>
      </c>
      <c r="C480" s="27" t="s">
        <v>14</v>
      </c>
      <c r="D480" s="20" t="str">
        <f>VLOOKUP(Table1[[#This Row],[Point of Origin]],Table2[#All],2,0)</f>
        <v>USA</v>
      </c>
      <c r="E480" s="20" t="str">
        <f>VLOOKUP(Table1[[#This Row],[Point of Origin]],Table2[#All],3,0)</f>
        <v>Domestic</v>
      </c>
      <c r="F480" s="20" t="s">
        <v>81</v>
      </c>
      <c r="G480" s="21" t="s">
        <v>62</v>
      </c>
      <c r="H480" s="22">
        <v>220</v>
      </c>
      <c r="I480" s="22">
        <f>Table1[[#This Row],[Total Weight Imported (lbs)]]*0.453592</f>
        <v>99.790239999999997</v>
      </c>
      <c r="J480" s="23">
        <v>342.1</v>
      </c>
      <c r="K480" s="41"/>
    </row>
    <row r="481" spans="1:11" ht="15.75" customHeight="1">
      <c r="A481" s="27" t="s">
        <v>182</v>
      </c>
      <c r="B481" s="27" t="s">
        <v>28</v>
      </c>
      <c r="C481" s="27" t="s">
        <v>14</v>
      </c>
      <c r="D481" s="20" t="str">
        <f>VLOOKUP(Table1[[#This Row],[Point of Origin]],Table2[#All],2,0)</f>
        <v>USA</v>
      </c>
      <c r="E481" s="20" t="str">
        <f>VLOOKUP(Table1[[#This Row],[Point of Origin]],Table2[#All],3,0)</f>
        <v>Domestic</v>
      </c>
      <c r="F481" s="20" t="s">
        <v>81</v>
      </c>
      <c r="G481" s="21" t="s">
        <v>62</v>
      </c>
      <c r="H481" s="22">
        <v>20</v>
      </c>
      <c r="I481" s="22">
        <f>Table1[[#This Row],[Total Weight Imported (lbs)]]*0.453592</f>
        <v>9.0718399999999999</v>
      </c>
      <c r="J481" s="23">
        <v>102.44</v>
      </c>
      <c r="K481" s="41"/>
    </row>
    <row r="482" spans="1:11" ht="15.75" customHeight="1">
      <c r="A482" s="27" t="s">
        <v>182</v>
      </c>
      <c r="B482" s="27" t="s">
        <v>28</v>
      </c>
      <c r="C482" s="27" t="s">
        <v>14</v>
      </c>
      <c r="D482" s="20" t="str">
        <f>VLOOKUP(Table1[[#This Row],[Point of Origin]],Table2[#All],2,0)</f>
        <v>USA</v>
      </c>
      <c r="E482" s="20" t="str">
        <f>VLOOKUP(Table1[[#This Row],[Point of Origin]],Table2[#All],3,0)</f>
        <v>Domestic</v>
      </c>
      <c r="F482" s="20" t="s">
        <v>81</v>
      </c>
      <c r="G482" s="21" t="s">
        <v>62</v>
      </c>
      <c r="H482" s="22">
        <v>110</v>
      </c>
      <c r="I482" s="22">
        <f>Table1[[#This Row],[Total Weight Imported (lbs)]]*0.453592</f>
        <v>49.895119999999999</v>
      </c>
      <c r="J482" s="23">
        <v>187.77</v>
      </c>
      <c r="K482" s="41"/>
    </row>
    <row r="483" spans="1:11" ht="15.75" customHeight="1">
      <c r="A483" s="27" t="s">
        <v>182</v>
      </c>
      <c r="B483" s="27" t="s">
        <v>28</v>
      </c>
      <c r="C483" s="27" t="s">
        <v>14</v>
      </c>
      <c r="D483" s="20" t="str">
        <f>VLOOKUP(Table1[[#This Row],[Point of Origin]],Table2[#All],2,0)</f>
        <v>USA</v>
      </c>
      <c r="E483" s="20" t="str">
        <f>VLOOKUP(Table1[[#This Row],[Point of Origin]],Table2[#All],3,0)</f>
        <v>Domestic</v>
      </c>
      <c r="F483" s="20" t="s">
        <v>54</v>
      </c>
      <c r="G483" s="21" t="s">
        <v>30</v>
      </c>
      <c r="H483" s="22">
        <v>840</v>
      </c>
      <c r="I483" s="22">
        <f>Table1[[#This Row],[Total Weight Imported (lbs)]]*0.453592</f>
        <v>381.01727999999997</v>
      </c>
      <c r="J483" s="23">
        <v>384.09</v>
      </c>
      <c r="K483" s="41"/>
    </row>
    <row r="484" spans="1:11" ht="15.75" customHeight="1">
      <c r="A484" s="27" t="s">
        <v>182</v>
      </c>
      <c r="B484" s="27" t="s">
        <v>28</v>
      </c>
      <c r="C484" s="27" t="s">
        <v>14</v>
      </c>
      <c r="D484" s="20" t="str">
        <f>VLOOKUP(Table1[[#This Row],[Point of Origin]],Table2[#All],2,0)</f>
        <v>USA</v>
      </c>
      <c r="E484" s="20" t="str">
        <f>VLOOKUP(Table1[[#This Row],[Point of Origin]],Table2[#All],3,0)</f>
        <v>Domestic</v>
      </c>
      <c r="F484" s="20" t="s">
        <v>54</v>
      </c>
      <c r="G484" s="21" t="s">
        <v>30</v>
      </c>
      <c r="H484" s="22">
        <v>11</v>
      </c>
      <c r="I484" s="22">
        <f>Table1[[#This Row],[Total Weight Imported (lbs)]]*0.453592</f>
        <v>4.9895119999999995</v>
      </c>
      <c r="J484" s="23">
        <v>25.61</v>
      </c>
      <c r="K484" s="41"/>
    </row>
    <row r="485" spans="1:11" ht="15.75" customHeight="1">
      <c r="A485" s="27" t="s">
        <v>182</v>
      </c>
      <c r="B485" s="27" t="s">
        <v>28</v>
      </c>
      <c r="C485" s="27" t="s">
        <v>14</v>
      </c>
      <c r="D485" s="20" t="str">
        <f>VLOOKUP(Table1[[#This Row],[Point of Origin]],Table2[#All],2,0)</f>
        <v>USA</v>
      </c>
      <c r="E485" s="20" t="str">
        <f>VLOOKUP(Table1[[#This Row],[Point of Origin]],Table2[#All],3,0)</f>
        <v>Domestic</v>
      </c>
      <c r="F485" s="20" t="s">
        <v>54</v>
      </c>
      <c r="G485" s="21" t="s">
        <v>30</v>
      </c>
      <c r="H485" s="22">
        <v>100</v>
      </c>
      <c r="I485" s="22">
        <f>Table1[[#This Row],[Total Weight Imported (lbs)]]*0.453592</f>
        <v>45.359200000000001</v>
      </c>
      <c r="J485" s="23">
        <v>121.96</v>
      </c>
      <c r="K485" s="41"/>
    </row>
    <row r="486" spans="1:11" ht="15.75" customHeight="1">
      <c r="A486" s="27" t="s">
        <v>182</v>
      </c>
      <c r="B486" s="27" t="s">
        <v>28</v>
      </c>
      <c r="C486" s="27" t="s">
        <v>14</v>
      </c>
      <c r="D486" s="20" t="str">
        <f>VLOOKUP(Table1[[#This Row],[Point of Origin]],Table2[#All],2,0)</f>
        <v>USA</v>
      </c>
      <c r="E486" s="20" t="str">
        <f>VLOOKUP(Table1[[#This Row],[Point of Origin]],Table2[#All],3,0)</f>
        <v>Domestic</v>
      </c>
      <c r="F486" s="20" t="s">
        <v>63</v>
      </c>
      <c r="G486" s="21" t="s">
        <v>64</v>
      </c>
      <c r="H486" s="22">
        <v>24</v>
      </c>
      <c r="I486" s="22">
        <f>Table1[[#This Row],[Total Weight Imported (lbs)]]*0.453592</f>
        <v>10.886208</v>
      </c>
      <c r="J486" s="23">
        <v>26.83</v>
      </c>
      <c r="K486" s="1"/>
    </row>
    <row r="487" spans="1:11" ht="15.75" customHeight="1">
      <c r="A487" s="27" t="s">
        <v>182</v>
      </c>
      <c r="B487" s="27" t="s">
        <v>28</v>
      </c>
      <c r="C487" s="27" t="s">
        <v>14</v>
      </c>
      <c r="D487" s="20" t="str">
        <f>VLOOKUP(Table1[[#This Row],[Point of Origin]],Table2[#All],2,0)</f>
        <v>USA</v>
      </c>
      <c r="E487" s="20" t="str">
        <f>VLOOKUP(Table1[[#This Row],[Point of Origin]],Table2[#All],3,0)</f>
        <v>Domestic</v>
      </c>
      <c r="F487" s="27" t="s">
        <v>184</v>
      </c>
      <c r="G487" s="21" t="s">
        <v>185</v>
      </c>
      <c r="H487" s="22">
        <v>624</v>
      </c>
      <c r="I487" s="22">
        <f>Table1[[#This Row],[Total Weight Imported (lbs)]]*0.453592</f>
        <v>283.04140799999999</v>
      </c>
      <c r="J487" s="23">
        <v>1287.8399999999999</v>
      </c>
      <c r="K487" s="1"/>
    </row>
    <row r="488" spans="1:11" ht="15.75" customHeight="1">
      <c r="A488" s="27" t="s">
        <v>182</v>
      </c>
      <c r="B488" s="27" t="s">
        <v>28</v>
      </c>
      <c r="C488" s="27" t="s">
        <v>14</v>
      </c>
      <c r="D488" s="20" t="str">
        <f>VLOOKUP(Table1[[#This Row],[Point of Origin]],Table2[#All],2,0)</f>
        <v>USA</v>
      </c>
      <c r="E488" s="20" t="str">
        <f>VLOOKUP(Table1[[#This Row],[Point of Origin]],Table2[#All],3,0)</f>
        <v>Domestic</v>
      </c>
      <c r="F488" s="27" t="s">
        <v>179</v>
      </c>
      <c r="G488" s="21" t="s">
        <v>180</v>
      </c>
      <c r="H488" s="22">
        <v>18</v>
      </c>
      <c r="I488" s="22">
        <f>Table1[[#This Row],[Total Weight Imported (lbs)]]*0.453592</f>
        <v>8.1646560000000008</v>
      </c>
      <c r="J488" s="23">
        <v>18.29</v>
      </c>
      <c r="K488" s="1"/>
    </row>
    <row r="489" spans="1:11" ht="15.75" customHeight="1">
      <c r="A489" s="27" t="s">
        <v>182</v>
      </c>
      <c r="B489" s="27" t="s">
        <v>28</v>
      </c>
      <c r="C489" s="27" t="s">
        <v>14</v>
      </c>
      <c r="D489" s="20" t="str">
        <f>VLOOKUP(Table1[[#This Row],[Point of Origin]],Table2[#All],2,0)</f>
        <v>USA</v>
      </c>
      <c r="E489" s="20" t="str">
        <f>VLOOKUP(Table1[[#This Row],[Point of Origin]],Table2[#All],3,0)</f>
        <v>Domestic</v>
      </c>
      <c r="F489" s="27" t="s">
        <v>146</v>
      </c>
      <c r="G489" s="21" t="s">
        <v>32</v>
      </c>
      <c r="H489" s="22">
        <v>30</v>
      </c>
      <c r="I489" s="22">
        <f>Table1[[#This Row],[Total Weight Imported (lbs)]]*0.453592</f>
        <v>13.607759999999999</v>
      </c>
      <c r="J489" s="23">
        <v>54.87</v>
      </c>
      <c r="K489" s="41"/>
    </row>
    <row r="490" spans="1:11" ht="15.75" customHeight="1">
      <c r="A490" s="27" t="s">
        <v>182</v>
      </c>
      <c r="B490" s="27" t="s">
        <v>28</v>
      </c>
      <c r="C490" s="27" t="s">
        <v>14</v>
      </c>
      <c r="D490" s="20" t="str">
        <f>VLOOKUP(Table1[[#This Row],[Point of Origin]],Table2[#All],2,0)</f>
        <v>USA</v>
      </c>
      <c r="E490" s="20" t="str">
        <f>VLOOKUP(Table1[[#This Row],[Point of Origin]],Table2[#All],3,0)</f>
        <v>Domestic</v>
      </c>
      <c r="F490" s="27" t="s">
        <v>163</v>
      </c>
      <c r="G490" s="21" t="s">
        <v>164</v>
      </c>
      <c r="H490" s="22">
        <v>10</v>
      </c>
      <c r="I490" s="22">
        <f>Table1[[#This Row],[Total Weight Imported (lbs)]]*0.453592</f>
        <v>4.53592</v>
      </c>
      <c r="J490" s="23">
        <v>85.36</v>
      </c>
      <c r="K490" s="41"/>
    </row>
    <row r="491" spans="1:11" ht="15.75" customHeight="1">
      <c r="A491" s="27" t="s">
        <v>182</v>
      </c>
      <c r="B491" s="27" t="s">
        <v>28</v>
      </c>
      <c r="C491" s="27" t="s">
        <v>14</v>
      </c>
      <c r="D491" s="20" t="str">
        <f>VLOOKUP(Table1[[#This Row],[Point of Origin]],Table2[#All],2,0)</f>
        <v>USA</v>
      </c>
      <c r="E491" s="20" t="str">
        <f>VLOOKUP(Table1[[#This Row],[Point of Origin]],Table2[#All],3,0)</f>
        <v>Domestic</v>
      </c>
      <c r="F491" s="27" t="s">
        <v>52</v>
      </c>
      <c r="G491" s="21" t="s">
        <v>41</v>
      </c>
      <c r="H491" s="22">
        <v>50</v>
      </c>
      <c r="I491" s="22">
        <f>Table1[[#This Row],[Total Weight Imported (lbs)]]*0.453592</f>
        <v>22.679600000000001</v>
      </c>
      <c r="J491" s="23">
        <v>68.3</v>
      </c>
      <c r="K491" s="41"/>
    </row>
    <row r="492" spans="1:11" ht="15.75" customHeight="1">
      <c r="A492" s="28" t="s">
        <v>186</v>
      </c>
      <c r="B492" s="28" t="s">
        <v>28</v>
      </c>
      <c r="C492" s="28" t="s">
        <v>14</v>
      </c>
      <c r="D492" s="28" t="str">
        <f>VLOOKUP(Table1[[#This Row],[Point of Origin]],Table2[#All],2,0)</f>
        <v>USA</v>
      </c>
      <c r="E492" s="28" t="str">
        <f>VLOOKUP(Table1[[#This Row],[Point of Origin]],Table2[#All],3,0)</f>
        <v>Domestic</v>
      </c>
      <c r="F492" s="28" t="s">
        <v>67</v>
      </c>
      <c r="G492" s="21" t="s">
        <v>68</v>
      </c>
      <c r="H492" s="22">
        <v>1800</v>
      </c>
      <c r="I492" s="22">
        <f>Table1[[#This Row],[Total Weight Imported (lbs)]]*0.453592</f>
        <v>816.46559999999999</v>
      </c>
      <c r="J492" s="23">
        <v>4536</v>
      </c>
      <c r="K492" s="41"/>
    </row>
    <row r="493" spans="1:11" ht="15.75" customHeight="1">
      <c r="A493" s="28" t="s">
        <v>186</v>
      </c>
      <c r="B493" s="28" t="s">
        <v>28</v>
      </c>
      <c r="C493" s="28" t="s">
        <v>14</v>
      </c>
      <c r="D493" s="28" t="str">
        <f>VLOOKUP(Table1[[#This Row],[Point of Origin]],Table2[#All],2,0)</f>
        <v>USA</v>
      </c>
      <c r="E493" s="28" t="str">
        <f>VLOOKUP(Table1[[#This Row],[Point of Origin]],Table2[#All],3,0)</f>
        <v>Domestic</v>
      </c>
      <c r="F493" s="36" t="s">
        <v>71</v>
      </c>
      <c r="G493" s="21" t="s">
        <v>72</v>
      </c>
      <c r="H493" s="22">
        <v>2375</v>
      </c>
      <c r="I493" s="22">
        <f>Table1[[#This Row],[Total Weight Imported (lbs)]]*0.453592</f>
        <v>1077.2809999999999</v>
      </c>
      <c r="J493" s="23">
        <v>4625</v>
      </c>
      <c r="K493" s="41"/>
    </row>
    <row r="494" spans="1:11" ht="15.75" customHeight="1">
      <c r="A494" s="28" t="s">
        <v>186</v>
      </c>
      <c r="B494" s="28" t="s">
        <v>28</v>
      </c>
      <c r="C494" s="28" t="s">
        <v>14</v>
      </c>
      <c r="D494" s="28" t="str">
        <f>VLOOKUP(Table1[[#This Row],[Point of Origin]],Table2[#All],2,0)</f>
        <v>USA</v>
      </c>
      <c r="E494" s="28" t="str">
        <f>VLOOKUP(Table1[[#This Row],[Point of Origin]],Table2[#All],3,0)</f>
        <v>Domestic</v>
      </c>
      <c r="F494" s="36" t="s">
        <v>71</v>
      </c>
      <c r="G494" s="21" t="s">
        <v>72</v>
      </c>
      <c r="H494" s="22">
        <v>2850</v>
      </c>
      <c r="I494" s="22">
        <f>Table1[[#This Row],[Total Weight Imported (lbs)]]*0.453592</f>
        <v>1292.7372</v>
      </c>
      <c r="J494" s="23">
        <v>5325</v>
      </c>
      <c r="K494" s="41"/>
    </row>
    <row r="495" spans="1:11" ht="15.75" customHeight="1">
      <c r="A495" s="28" t="s">
        <v>186</v>
      </c>
      <c r="B495" s="28" t="s">
        <v>28</v>
      </c>
      <c r="C495" s="28" t="s">
        <v>14</v>
      </c>
      <c r="D495" s="28" t="str">
        <f>VLOOKUP(Table1[[#This Row],[Point of Origin]],Table2[#All],2,0)</f>
        <v>USA</v>
      </c>
      <c r="E495" s="28" t="str">
        <f>VLOOKUP(Table1[[#This Row],[Point of Origin]],Table2[#All],3,0)</f>
        <v>Domestic</v>
      </c>
      <c r="F495" s="36" t="s">
        <v>137</v>
      </c>
      <c r="G495" s="21" t="s">
        <v>138</v>
      </c>
      <c r="H495" s="22">
        <v>2052</v>
      </c>
      <c r="I495" s="22">
        <f>Table1[[#This Row],[Total Weight Imported (lbs)]]*0.453592</f>
        <v>930.77078399999994</v>
      </c>
      <c r="J495" s="23">
        <v>1930.5</v>
      </c>
      <c r="K495" s="1"/>
    </row>
    <row r="496" spans="1:11" ht="15.75" customHeight="1">
      <c r="A496" s="28" t="s">
        <v>186</v>
      </c>
      <c r="B496" s="28" t="s">
        <v>28</v>
      </c>
      <c r="C496" s="28" t="s">
        <v>14</v>
      </c>
      <c r="D496" s="28" t="str">
        <f>VLOOKUP(Table1[[#This Row],[Point of Origin]],Table2[#All],2,0)</f>
        <v>USA</v>
      </c>
      <c r="E496" s="28" t="str">
        <f>VLOOKUP(Table1[[#This Row],[Point of Origin]],Table2[#All],3,0)</f>
        <v>Domestic</v>
      </c>
      <c r="F496" s="36" t="s">
        <v>147</v>
      </c>
      <c r="G496" s="21" t="s">
        <v>138</v>
      </c>
      <c r="H496" s="22">
        <v>2000</v>
      </c>
      <c r="I496" s="22">
        <f>Table1[[#This Row],[Total Weight Imported (lbs)]]*0.453592</f>
        <v>907.18399999999997</v>
      </c>
      <c r="J496" s="23">
        <v>1700</v>
      </c>
      <c r="K496" s="41"/>
    </row>
    <row r="497" spans="1:11" ht="15.75" customHeight="1">
      <c r="A497" s="28" t="s">
        <v>186</v>
      </c>
      <c r="B497" s="28" t="s">
        <v>28</v>
      </c>
      <c r="C497" s="28" t="s">
        <v>14</v>
      </c>
      <c r="D497" s="28" t="str">
        <f>VLOOKUP(Table1[[#This Row],[Point of Origin]],Table2[#All],2,0)</f>
        <v>USA</v>
      </c>
      <c r="E497" s="28" t="str">
        <f>VLOOKUP(Table1[[#This Row],[Point of Origin]],Table2[#All],3,0)</f>
        <v>Domestic</v>
      </c>
      <c r="F497" s="36" t="s">
        <v>157</v>
      </c>
      <c r="G497" s="21" t="s">
        <v>127</v>
      </c>
      <c r="H497" s="22">
        <v>2016</v>
      </c>
      <c r="I497" s="22">
        <f>Table1[[#This Row],[Total Weight Imported (lbs)]]*0.453592</f>
        <v>914.44147199999998</v>
      </c>
      <c r="J497" s="23">
        <v>1428</v>
      </c>
      <c r="K497" s="41"/>
    </row>
    <row r="498" spans="1:11" ht="15.75" customHeight="1">
      <c r="A498" s="28" t="s">
        <v>186</v>
      </c>
      <c r="B498" s="28" t="s">
        <v>28</v>
      </c>
      <c r="C498" s="28" t="s">
        <v>14</v>
      </c>
      <c r="D498" s="28" t="str">
        <f>VLOOKUP(Table1[[#This Row],[Point of Origin]],Table2[#All],2,0)</f>
        <v>USA</v>
      </c>
      <c r="E498" s="28" t="str">
        <f>VLOOKUP(Table1[[#This Row],[Point of Origin]],Table2[#All],3,0)</f>
        <v>Domestic</v>
      </c>
      <c r="F498" s="36" t="s">
        <v>161</v>
      </c>
      <c r="G498" s="21" t="s">
        <v>162</v>
      </c>
      <c r="H498" s="22">
        <v>1920</v>
      </c>
      <c r="I498" s="22">
        <f>Table1[[#This Row],[Total Weight Imported (lbs)]]*0.453592</f>
        <v>870.89663999999993</v>
      </c>
      <c r="J498" s="23">
        <v>1008</v>
      </c>
      <c r="K498" s="41"/>
    </row>
    <row r="499" spans="1:11" ht="15.75" customHeight="1">
      <c r="A499" s="28" t="s">
        <v>186</v>
      </c>
      <c r="B499" s="28" t="s">
        <v>28</v>
      </c>
      <c r="C499" s="28" t="s">
        <v>14</v>
      </c>
      <c r="D499" s="28" t="str">
        <f>VLOOKUP(Table1[[#This Row],[Point of Origin]],Table2[#All],2,0)</f>
        <v>USA</v>
      </c>
      <c r="E499" s="28" t="str">
        <f>VLOOKUP(Table1[[#This Row],[Point of Origin]],Table2[#All],3,0)</f>
        <v>Domestic</v>
      </c>
      <c r="F499" s="28" t="s">
        <v>159</v>
      </c>
      <c r="G499" s="21" t="s">
        <v>160</v>
      </c>
      <c r="H499" s="22">
        <v>1875</v>
      </c>
      <c r="I499" s="22">
        <f>Table1[[#This Row],[Total Weight Imported (lbs)]]*0.453592</f>
        <v>850.48500000000001</v>
      </c>
      <c r="J499" s="23">
        <v>1650</v>
      </c>
      <c r="K499" s="1"/>
    </row>
    <row r="500" spans="1:11" ht="15.75" customHeight="1">
      <c r="A500" s="28" t="s">
        <v>186</v>
      </c>
      <c r="B500" s="28" t="s">
        <v>28</v>
      </c>
      <c r="C500" s="28" t="s">
        <v>14</v>
      </c>
      <c r="D500" s="28" t="str">
        <f>VLOOKUP(Table1[[#This Row],[Point of Origin]],Table2[#All],2,0)</f>
        <v>USA</v>
      </c>
      <c r="E500" s="28" t="str">
        <f>VLOOKUP(Table1[[#This Row],[Point of Origin]],Table2[#All],3,0)</f>
        <v>Domestic</v>
      </c>
      <c r="F500" s="28" t="s">
        <v>15</v>
      </c>
      <c r="G500" s="21" t="s">
        <v>16</v>
      </c>
      <c r="H500" s="22">
        <v>220</v>
      </c>
      <c r="I500" s="22">
        <f>Table1[[#This Row],[Total Weight Imported (lbs)]]*0.453592</f>
        <v>99.790239999999997</v>
      </c>
      <c r="J500" s="23">
        <v>760</v>
      </c>
      <c r="K500" s="41"/>
    </row>
    <row r="501" spans="1:11" ht="15.75" customHeight="1">
      <c r="A501" s="28" t="s">
        <v>186</v>
      </c>
      <c r="B501" s="28" t="s">
        <v>28</v>
      </c>
      <c r="C501" s="28" t="s">
        <v>14</v>
      </c>
      <c r="D501" s="28" t="str">
        <f>VLOOKUP(Table1[[#This Row],[Point of Origin]],Table2[#All],2,0)</f>
        <v>USA</v>
      </c>
      <c r="E501" s="28" t="str">
        <f>VLOOKUP(Table1[[#This Row],[Point of Origin]],Table2[#All],3,0)</f>
        <v>Domestic</v>
      </c>
      <c r="F501" s="28" t="s">
        <v>81</v>
      </c>
      <c r="G501" s="21" t="s">
        <v>62</v>
      </c>
      <c r="H501" s="22">
        <v>220</v>
      </c>
      <c r="I501" s="22">
        <f>Table1[[#This Row],[Total Weight Imported (lbs)]]*0.453592</f>
        <v>99.790239999999997</v>
      </c>
      <c r="J501" s="23">
        <v>590</v>
      </c>
      <c r="K501" s="41"/>
    </row>
    <row r="502" spans="1:11" ht="15.75" customHeight="1">
      <c r="A502" s="28" t="s">
        <v>186</v>
      </c>
      <c r="B502" s="28" t="s">
        <v>28</v>
      </c>
      <c r="C502" s="28" t="s">
        <v>14</v>
      </c>
      <c r="D502" s="28" t="str">
        <f>VLOOKUP(Table1[[#This Row],[Point of Origin]],Table2[#All],2,0)</f>
        <v>USA</v>
      </c>
      <c r="E502" s="28" t="str">
        <f>VLOOKUP(Table1[[#This Row],[Point of Origin]],Table2[#All],3,0)</f>
        <v>Domestic</v>
      </c>
      <c r="F502" s="28" t="s">
        <v>81</v>
      </c>
      <c r="G502" s="21" t="s">
        <v>62</v>
      </c>
      <c r="H502" s="22">
        <v>1092</v>
      </c>
      <c r="I502" s="22">
        <f>Table1[[#This Row],[Total Weight Imported (lbs)]]*0.453592</f>
        <v>495.32246399999997</v>
      </c>
      <c r="J502" s="23">
        <v>2128</v>
      </c>
      <c r="K502" s="41"/>
    </row>
    <row r="503" spans="1:11" ht="15.75" customHeight="1">
      <c r="A503" s="28" t="s">
        <v>186</v>
      </c>
      <c r="B503" s="28" t="s">
        <v>28</v>
      </c>
      <c r="C503" s="28" t="s">
        <v>14</v>
      </c>
      <c r="D503" s="28" t="str">
        <f>VLOOKUP(Table1[[#This Row],[Point of Origin]],Table2[#All],2,0)</f>
        <v>USA</v>
      </c>
      <c r="E503" s="28" t="str">
        <f>VLOOKUP(Table1[[#This Row],[Point of Origin]],Table2[#All],3,0)</f>
        <v>Domestic</v>
      </c>
      <c r="F503" s="28" t="s">
        <v>81</v>
      </c>
      <c r="G503" s="21" t="s">
        <v>62</v>
      </c>
      <c r="H503" s="22">
        <v>220</v>
      </c>
      <c r="I503" s="22">
        <f>Table1[[#This Row],[Total Weight Imported (lbs)]]*0.453592</f>
        <v>99.790239999999997</v>
      </c>
      <c r="J503" s="23">
        <v>590</v>
      </c>
      <c r="K503" s="41"/>
    </row>
    <row r="504" spans="1:11" ht="15.75" customHeight="1">
      <c r="A504" s="28" t="s">
        <v>186</v>
      </c>
      <c r="B504" s="28" t="s">
        <v>28</v>
      </c>
      <c r="C504" s="28" t="s">
        <v>14</v>
      </c>
      <c r="D504" s="28" t="str">
        <f>VLOOKUP(Table1[[#This Row],[Point of Origin]],Table2[#All],2,0)</f>
        <v>USA</v>
      </c>
      <c r="E504" s="28" t="str">
        <f>VLOOKUP(Table1[[#This Row],[Point of Origin]],Table2[#All],3,0)</f>
        <v>Domestic</v>
      </c>
      <c r="F504" s="28" t="s">
        <v>81</v>
      </c>
      <c r="G504" s="21" t="s">
        <v>62</v>
      </c>
      <c r="H504" s="22">
        <v>546</v>
      </c>
      <c r="I504" s="22">
        <f>Table1[[#This Row],[Total Weight Imported (lbs)]]*0.453592</f>
        <v>247.66123199999998</v>
      </c>
      <c r="J504" s="23">
        <v>1260</v>
      </c>
      <c r="K504" s="41"/>
    </row>
    <row r="505" spans="1:11" ht="15.75" customHeight="1">
      <c r="A505" s="28" t="s">
        <v>186</v>
      </c>
      <c r="B505" s="28" t="s">
        <v>28</v>
      </c>
      <c r="C505" s="28" t="s">
        <v>14</v>
      </c>
      <c r="D505" s="28" t="str">
        <f>VLOOKUP(Table1[[#This Row],[Point of Origin]],Table2[#All],2,0)</f>
        <v>USA</v>
      </c>
      <c r="E505" s="28" t="str">
        <f>VLOOKUP(Table1[[#This Row],[Point of Origin]],Table2[#All],3,0)</f>
        <v>Domestic</v>
      </c>
      <c r="F505" s="28" t="s">
        <v>81</v>
      </c>
      <c r="G505" s="21" t="s">
        <v>62</v>
      </c>
      <c r="H505" s="22">
        <v>385</v>
      </c>
      <c r="I505" s="22">
        <f>Table1[[#This Row],[Total Weight Imported (lbs)]]*0.453592</f>
        <v>174.63291999999998</v>
      </c>
      <c r="J505" s="23">
        <v>1032.5</v>
      </c>
      <c r="K505" s="41"/>
    </row>
    <row r="506" spans="1:11" ht="15.75" customHeight="1">
      <c r="A506" s="28" t="s">
        <v>186</v>
      </c>
      <c r="B506" s="28" t="s">
        <v>28</v>
      </c>
      <c r="C506" s="28" t="s">
        <v>14</v>
      </c>
      <c r="D506" s="28" t="str">
        <f>VLOOKUP(Table1[[#This Row],[Point of Origin]],Table2[#All],2,0)</f>
        <v>USA</v>
      </c>
      <c r="E506" s="28" t="str">
        <f>VLOOKUP(Table1[[#This Row],[Point of Origin]],Table2[#All],3,0)</f>
        <v>Domestic</v>
      </c>
      <c r="F506" s="28" t="s">
        <v>19</v>
      </c>
      <c r="G506" s="21" t="s">
        <v>20</v>
      </c>
      <c r="H506" s="22">
        <v>30</v>
      </c>
      <c r="I506" s="22">
        <f>Table1[[#This Row],[Total Weight Imported (lbs)]]*0.453592</f>
        <v>13.607759999999999</v>
      </c>
      <c r="J506" s="23">
        <v>96</v>
      </c>
      <c r="K506" s="41"/>
    </row>
    <row r="507" spans="1:11" ht="15.75" customHeight="1">
      <c r="A507" s="28" t="s">
        <v>186</v>
      </c>
      <c r="B507" s="28" t="s">
        <v>28</v>
      </c>
      <c r="C507" s="28" t="s">
        <v>14</v>
      </c>
      <c r="D507" s="28" t="str">
        <f>VLOOKUP(Table1[[#This Row],[Point of Origin]],Table2[#All],2,0)</f>
        <v>USA</v>
      </c>
      <c r="E507" s="28" t="str">
        <f>VLOOKUP(Table1[[#This Row],[Point of Origin]],Table2[#All],3,0)</f>
        <v>Domestic</v>
      </c>
      <c r="F507" s="28" t="s">
        <v>82</v>
      </c>
      <c r="G507" s="21" t="s">
        <v>20</v>
      </c>
      <c r="H507" s="22">
        <v>1400</v>
      </c>
      <c r="I507" s="22">
        <f>Table1[[#This Row],[Total Weight Imported (lbs)]]*0.453592</f>
        <v>635.02880000000005</v>
      </c>
      <c r="J507" s="23">
        <v>1225</v>
      </c>
      <c r="K507" s="41"/>
    </row>
    <row r="508" spans="1:11" ht="15.75" customHeight="1">
      <c r="A508" s="28" t="s">
        <v>186</v>
      </c>
      <c r="B508" s="28" t="s">
        <v>28</v>
      </c>
      <c r="C508" s="28" t="s">
        <v>14</v>
      </c>
      <c r="D508" s="28" t="str">
        <f>VLOOKUP(Table1[[#This Row],[Point of Origin]],Table2[#All],2,0)</f>
        <v>USA</v>
      </c>
      <c r="E508" s="28" t="str">
        <f>VLOOKUP(Table1[[#This Row],[Point of Origin]],Table2[#All],3,0)</f>
        <v>Domestic</v>
      </c>
      <c r="F508" s="28" t="s">
        <v>40</v>
      </c>
      <c r="G508" s="21" t="s">
        <v>41</v>
      </c>
      <c r="H508" s="22">
        <v>2310</v>
      </c>
      <c r="I508" s="22">
        <f>Table1[[#This Row],[Total Weight Imported (lbs)]]*0.453592</f>
        <v>1047.7975200000001</v>
      </c>
      <c r="J508" s="23">
        <v>2387</v>
      </c>
      <c r="K508" s="41"/>
    </row>
    <row r="509" spans="1:11" ht="15.75" customHeight="1">
      <c r="A509" s="28" t="s">
        <v>186</v>
      </c>
      <c r="B509" s="28" t="s">
        <v>28</v>
      </c>
      <c r="C509" s="28" t="s">
        <v>14</v>
      </c>
      <c r="D509" s="28" t="str">
        <f>VLOOKUP(Table1[[#This Row],[Point of Origin]],Table2[#All],2,0)</f>
        <v>USA</v>
      </c>
      <c r="E509" s="28" t="str">
        <f>VLOOKUP(Table1[[#This Row],[Point of Origin]],Table2[#All],3,0)</f>
        <v>Domestic</v>
      </c>
      <c r="F509" s="28" t="s">
        <v>40</v>
      </c>
      <c r="G509" s="21" t="s">
        <v>41</v>
      </c>
      <c r="H509" s="22">
        <v>1310</v>
      </c>
      <c r="I509" s="22">
        <f>Table1[[#This Row],[Total Weight Imported (lbs)]]*0.453592</f>
        <v>594.20551999999998</v>
      </c>
      <c r="J509" s="23">
        <v>980.5</v>
      </c>
      <c r="K509" s="41"/>
    </row>
    <row r="510" spans="1:11" ht="15.75" customHeight="1">
      <c r="A510" s="28" t="s">
        <v>186</v>
      </c>
      <c r="B510" s="28" t="s">
        <v>28</v>
      </c>
      <c r="C510" s="28" t="s">
        <v>14</v>
      </c>
      <c r="D510" s="28" t="str">
        <f>VLOOKUP(Table1[[#This Row],[Point of Origin]],Table2[#All],2,0)</f>
        <v>USA</v>
      </c>
      <c r="E510" s="28" t="str">
        <f>VLOOKUP(Table1[[#This Row],[Point of Origin]],Table2[#All],3,0)</f>
        <v>Domestic</v>
      </c>
      <c r="F510" s="28" t="s">
        <v>56</v>
      </c>
      <c r="G510" s="21" t="s">
        <v>57</v>
      </c>
      <c r="H510" s="22">
        <v>120</v>
      </c>
      <c r="I510" s="22">
        <f>Table1[[#This Row],[Total Weight Imported (lbs)]]*0.453592</f>
        <v>54.431039999999996</v>
      </c>
      <c r="J510" s="23">
        <v>168</v>
      </c>
      <c r="K510" s="41"/>
    </row>
    <row r="511" spans="1:11" ht="15.75" customHeight="1">
      <c r="A511" s="28" t="s">
        <v>186</v>
      </c>
      <c r="B511" s="28" t="s">
        <v>28</v>
      </c>
      <c r="C511" s="28" t="s">
        <v>14</v>
      </c>
      <c r="D511" s="28" t="str">
        <f>VLOOKUP(Table1[[#This Row],[Point of Origin]],Table2[#All],2,0)</f>
        <v>USA</v>
      </c>
      <c r="E511" s="28" t="str">
        <f>VLOOKUP(Table1[[#This Row],[Point of Origin]],Table2[#All],3,0)</f>
        <v>Domestic</v>
      </c>
      <c r="F511" s="28" t="s">
        <v>56</v>
      </c>
      <c r="G511" s="21" t="s">
        <v>57</v>
      </c>
      <c r="H511" s="22">
        <v>1920</v>
      </c>
      <c r="I511" s="22">
        <f>Table1[[#This Row],[Total Weight Imported (lbs)]]*0.453592</f>
        <v>870.89663999999993</v>
      </c>
      <c r="J511" s="23">
        <v>960</v>
      </c>
      <c r="K511" s="41"/>
    </row>
    <row r="512" spans="1:11" ht="15.75" customHeight="1">
      <c r="A512" s="28" t="s">
        <v>186</v>
      </c>
      <c r="B512" s="28" t="s">
        <v>28</v>
      </c>
      <c r="C512" s="28" t="s">
        <v>14</v>
      </c>
      <c r="D512" s="28" t="str">
        <f>VLOOKUP(Table1[[#This Row],[Point of Origin]],Table2[#All],2,0)</f>
        <v>USA</v>
      </c>
      <c r="E512" s="28" t="str">
        <f>VLOOKUP(Table1[[#This Row],[Point of Origin]],Table2[#All],3,0)</f>
        <v>Domestic</v>
      </c>
      <c r="F512" s="28" t="s">
        <v>81</v>
      </c>
      <c r="G512" s="21" t="s">
        <v>62</v>
      </c>
      <c r="H512" s="22">
        <v>100</v>
      </c>
      <c r="I512" s="22">
        <f>Table1[[#This Row],[Total Weight Imported (lbs)]]*0.453592</f>
        <v>45.359200000000001</v>
      </c>
      <c r="J512" s="23">
        <v>170</v>
      </c>
      <c r="K512" s="1"/>
    </row>
    <row r="513" spans="1:11" ht="15.75" customHeight="1">
      <c r="A513" s="28" t="s">
        <v>186</v>
      </c>
      <c r="B513" s="28" t="s">
        <v>28</v>
      </c>
      <c r="C513" s="28" t="s">
        <v>14</v>
      </c>
      <c r="D513" s="28" t="str">
        <f>VLOOKUP(Table1[[#This Row],[Point of Origin]],Table2[#All],2,0)</f>
        <v>USA</v>
      </c>
      <c r="E513" s="28" t="str">
        <f>VLOOKUP(Table1[[#This Row],[Point of Origin]],Table2[#All],3,0)</f>
        <v>Domestic</v>
      </c>
      <c r="F513" s="28" t="s">
        <v>146</v>
      </c>
      <c r="G513" s="21" t="s">
        <v>32</v>
      </c>
      <c r="H513" s="22">
        <v>60</v>
      </c>
      <c r="I513" s="22">
        <f>Table1[[#This Row],[Total Weight Imported (lbs)]]*0.453592</f>
        <v>27.215519999999998</v>
      </c>
      <c r="J513" s="23">
        <v>108</v>
      </c>
      <c r="K513" s="41"/>
    </row>
    <row r="514" spans="1:11" ht="15.75" customHeight="1">
      <c r="A514" s="28" t="s">
        <v>186</v>
      </c>
      <c r="B514" s="28" t="s">
        <v>28</v>
      </c>
      <c r="C514" s="28" t="s">
        <v>14</v>
      </c>
      <c r="D514" s="28" t="str">
        <f>VLOOKUP(Table1[[#This Row],[Point of Origin]],Table2[#All],2,0)</f>
        <v>USA</v>
      </c>
      <c r="E514" s="28" t="str">
        <f>VLOOKUP(Table1[[#This Row],[Point of Origin]],Table2[#All],3,0)</f>
        <v>Domestic</v>
      </c>
      <c r="F514" s="36" t="s">
        <v>163</v>
      </c>
      <c r="G514" s="21" t="s">
        <v>164</v>
      </c>
      <c r="H514" s="22">
        <v>630</v>
      </c>
      <c r="I514" s="22">
        <f>Table1[[#This Row],[Total Weight Imported (lbs)]]*0.453592</f>
        <v>285.76296000000002</v>
      </c>
      <c r="J514" s="23">
        <v>945</v>
      </c>
      <c r="K514" s="41"/>
    </row>
    <row r="515" spans="1:11" ht="15.75" customHeight="1">
      <c r="A515" s="28" t="s">
        <v>186</v>
      </c>
      <c r="B515" s="28" t="s">
        <v>28</v>
      </c>
      <c r="C515" s="28" t="s">
        <v>14</v>
      </c>
      <c r="D515" s="28" t="str">
        <f>VLOOKUP(Table1[[#This Row],[Point of Origin]],Table2[#All],2,0)</f>
        <v>USA</v>
      </c>
      <c r="E515" s="28" t="str">
        <f>VLOOKUP(Table1[[#This Row],[Point of Origin]],Table2[#All],3,0)</f>
        <v>Domestic</v>
      </c>
      <c r="F515" s="28" t="s">
        <v>36</v>
      </c>
      <c r="G515" s="21" t="s">
        <v>57</v>
      </c>
      <c r="H515" s="22">
        <v>90</v>
      </c>
      <c r="I515" s="22">
        <f>Table1[[#This Row],[Total Weight Imported (lbs)]]*0.453592</f>
        <v>40.823279999999997</v>
      </c>
      <c r="J515" s="23">
        <v>390</v>
      </c>
      <c r="K515" s="41"/>
    </row>
    <row r="516" spans="1:11" ht="15.75" customHeight="1">
      <c r="A516" s="28" t="s">
        <v>186</v>
      </c>
      <c r="B516" s="28" t="s">
        <v>28</v>
      </c>
      <c r="C516" s="28" t="s">
        <v>14</v>
      </c>
      <c r="D516" s="28" t="str">
        <f>VLOOKUP(Table1[[#This Row],[Point of Origin]],Table2[#All],2,0)</f>
        <v>USA</v>
      </c>
      <c r="E516" s="28" t="str">
        <f>VLOOKUP(Table1[[#This Row],[Point of Origin]],Table2[#All],3,0)</f>
        <v>Domestic</v>
      </c>
      <c r="F516" s="28" t="s">
        <v>36</v>
      </c>
      <c r="G516" s="21" t="s">
        <v>57</v>
      </c>
      <c r="H516" s="22">
        <v>100</v>
      </c>
      <c r="I516" s="22">
        <f>Table1[[#This Row],[Total Weight Imported (lbs)]]*0.453592</f>
        <v>45.359200000000001</v>
      </c>
      <c r="J516" s="23">
        <v>360</v>
      </c>
      <c r="K516" s="41"/>
    </row>
    <row r="517" spans="1:11" ht="15.75" customHeight="1">
      <c r="A517" s="28" t="s">
        <v>186</v>
      </c>
      <c r="B517" s="28" t="s">
        <v>28</v>
      </c>
      <c r="C517" s="28" t="s">
        <v>14</v>
      </c>
      <c r="D517" s="28" t="str">
        <f>VLOOKUP(Table1[[#This Row],[Point of Origin]],Table2[#All],2,0)</f>
        <v>USA</v>
      </c>
      <c r="E517" s="28" t="str">
        <f>VLOOKUP(Table1[[#This Row],[Point of Origin]],Table2[#All],3,0)</f>
        <v>Domestic</v>
      </c>
      <c r="F517" s="28" t="s">
        <v>36</v>
      </c>
      <c r="G517" s="21" t="s">
        <v>57</v>
      </c>
      <c r="H517" s="22">
        <v>50</v>
      </c>
      <c r="I517" s="22">
        <f>Table1[[#This Row],[Total Weight Imported (lbs)]]*0.453592</f>
        <v>22.679600000000001</v>
      </c>
      <c r="J517" s="23">
        <v>270</v>
      </c>
      <c r="K517" s="41"/>
    </row>
    <row r="518" spans="1:11" ht="15.75" customHeight="1">
      <c r="A518" s="28" t="s">
        <v>186</v>
      </c>
      <c r="B518" s="28" t="s">
        <v>28</v>
      </c>
      <c r="C518" s="28" t="s">
        <v>14</v>
      </c>
      <c r="D518" s="28" t="str">
        <f>VLOOKUP(Table1[[#This Row],[Point of Origin]],Table2[#All],2,0)</f>
        <v>USA</v>
      </c>
      <c r="E518" s="28" t="str">
        <f>VLOOKUP(Table1[[#This Row],[Point of Origin]],Table2[#All],3,0)</f>
        <v>Domestic</v>
      </c>
      <c r="F518" s="28" t="s">
        <v>58</v>
      </c>
      <c r="G518" s="21" t="s">
        <v>34</v>
      </c>
      <c r="H518" s="22">
        <v>800</v>
      </c>
      <c r="I518" s="22">
        <f>Table1[[#This Row],[Total Weight Imported (lbs)]]*0.453592</f>
        <v>362.87360000000001</v>
      </c>
      <c r="J518" s="23">
        <v>2120</v>
      </c>
      <c r="K518" s="1"/>
    </row>
    <row r="519" spans="1:11" ht="15.75" customHeight="1">
      <c r="A519" s="28" t="s">
        <v>186</v>
      </c>
      <c r="B519" s="28" t="s">
        <v>28</v>
      </c>
      <c r="C519" s="28" t="s">
        <v>14</v>
      </c>
      <c r="D519" s="28" t="str">
        <f>VLOOKUP(Table1[[#This Row],[Point of Origin]],Table2[#All],2,0)</f>
        <v>USA</v>
      </c>
      <c r="E519" s="28" t="str">
        <f>VLOOKUP(Table1[[#This Row],[Point of Origin]],Table2[#All],3,0)</f>
        <v>Domestic</v>
      </c>
      <c r="F519" s="28" t="s">
        <v>58</v>
      </c>
      <c r="G519" s="21" t="s">
        <v>34</v>
      </c>
      <c r="H519" s="22">
        <v>75</v>
      </c>
      <c r="I519" s="22">
        <f>Table1[[#This Row],[Total Weight Imported (lbs)]]*0.453592</f>
        <v>34.019399999999997</v>
      </c>
      <c r="J519" s="23">
        <v>115.5</v>
      </c>
      <c r="K519" s="1"/>
    </row>
    <row r="520" spans="1:11" ht="15.75" customHeight="1">
      <c r="A520" s="28" t="s">
        <v>186</v>
      </c>
      <c r="B520" s="28" t="s">
        <v>28</v>
      </c>
      <c r="C520" s="28" t="s">
        <v>14</v>
      </c>
      <c r="D520" s="28" t="str">
        <f>VLOOKUP(Table1[[#This Row],[Point of Origin]],Table2[#All],2,0)</f>
        <v>USA</v>
      </c>
      <c r="E520" s="28" t="str">
        <f>VLOOKUP(Table1[[#This Row],[Point of Origin]],Table2[#All],3,0)</f>
        <v>Domestic</v>
      </c>
      <c r="F520" s="28" t="s">
        <v>76</v>
      </c>
      <c r="G520" s="21" t="s">
        <v>77</v>
      </c>
      <c r="H520" s="22">
        <v>75</v>
      </c>
      <c r="I520" s="22">
        <f>Table1[[#This Row],[Total Weight Imported (lbs)]]*0.453592</f>
        <v>34.019399999999997</v>
      </c>
      <c r="J520" s="23">
        <v>115.5</v>
      </c>
      <c r="K520" s="1"/>
    </row>
    <row r="521" spans="1:11" ht="15.75" customHeight="1">
      <c r="A521" s="28" t="s">
        <v>186</v>
      </c>
      <c r="B521" s="28" t="s">
        <v>28</v>
      </c>
      <c r="C521" s="28" t="s">
        <v>14</v>
      </c>
      <c r="D521" s="28" t="str">
        <f>VLOOKUP(Table1[[#This Row],[Point of Origin]],Table2[#All],2,0)</f>
        <v>USA</v>
      </c>
      <c r="E521" s="28" t="str">
        <f>VLOOKUP(Table1[[#This Row],[Point of Origin]],Table2[#All],3,0)</f>
        <v>Domestic</v>
      </c>
      <c r="F521" s="28" t="s">
        <v>76</v>
      </c>
      <c r="G521" s="21" t="s">
        <v>77</v>
      </c>
      <c r="H521" s="22">
        <v>75</v>
      </c>
      <c r="I521" s="22">
        <f>Table1[[#This Row],[Total Weight Imported (lbs)]]*0.453592</f>
        <v>34.019399999999997</v>
      </c>
      <c r="J521" s="23">
        <v>115.5</v>
      </c>
      <c r="K521" s="1"/>
    </row>
    <row r="522" spans="1:11" ht="15.75" customHeight="1">
      <c r="A522" s="28" t="s">
        <v>186</v>
      </c>
      <c r="B522" s="28" t="s">
        <v>28</v>
      </c>
      <c r="C522" s="28" t="s">
        <v>14</v>
      </c>
      <c r="D522" s="28" t="str">
        <f>VLOOKUP(Table1[[#This Row],[Point of Origin]],Table2[#All],2,0)</f>
        <v>USA</v>
      </c>
      <c r="E522" s="28" t="str">
        <f>VLOOKUP(Table1[[#This Row],[Point of Origin]],Table2[#All],3,0)</f>
        <v>Domestic</v>
      </c>
      <c r="F522" s="28" t="s">
        <v>76</v>
      </c>
      <c r="G522" s="21" t="s">
        <v>77</v>
      </c>
      <c r="H522" s="22">
        <v>75</v>
      </c>
      <c r="I522" s="22">
        <f>Table1[[#This Row],[Total Weight Imported (lbs)]]*0.453592</f>
        <v>34.019399999999997</v>
      </c>
      <c r="J522" s="23">
        <v>115.5</v>
      </c>
      <c r="K522" s="1"/>
    </row>
    <row r="523" spans="1:11" ht="15.75" customHeight="1">
      <c r="A523" s="28" t="s">
        <v>186</v>
      </c>
      <c r="B523" s="28" t="s">
        <v>28</v>
      </c>
      <c r="C523" s="28" t="s">
        <v>14</v>
      </c>
      <c r="D523" s="28" t="str">
        <f>VLOOKUP(Table1[[#This Row],[Point of Origin]],Table2[#All],2,0)</f>
        <v>USA</v>
      </c>
      <c r="E523" s="28" t="str">
        <f>VLOOKUP(Table1[[#This Row],[Point of Origin]],Table2[#All],3,0)</f>
        <v>Domestic</v>
      </c>
      <c r="F523" s="36" t="s">
        <v>141</v>
      </c>
      <c r="G523" s="21" t="s">
        <v>142</v>
      </c>
      <c r="H523" s="22">
        <v>20</v>
      </c>
      <c r="I523" s="22">
        <f>Table1[[#This Row],[Total Weight Imported (lbs)]]*0.453592</f>
        <v>9.0718399999999999</v>
      </c>
      <c r="J523" s="23">
        <v>37.5</v>
      </c>
      <c r="K523" s="41"/>
    </row>
    <row r="524" spans="1:11" ht="15.75" customHeight="1">
      <c r="A524" s="28" t="s">
        <v>186</v>
      </c>
      <c r="B524" s="28" t="s">
        <v>28</v>
      </c>
      <c r="C524" s="28" t="s">
        <v>14</v>
      </c>
      <c r="D524" s="28" t="str">
        <f>VLOOKUP(Table1[[#This Row],[Point of Origin]],Table2[#All],2,0)</f>
        <v>USA</v>
      </c>
      <c r="E524" s="28" t="str">
        <f>VLOOKUP(Table1[[#This Row],[Point of Origin]],Table2[#All],3,0)</f>
        <v>Domestic</v>
      </c>
      <c r="F524" s="36" t="s">
        <v>141</v>
      </c>
      <c r="G524" s="21" t="s">
        <v>142</v>
      </c>
      <c r="H524" s="22">
        <v>50</v>
      </c>
      <c r="I524" s="22">
        <f>Table1[[#This Row],[Total Weight Imported (lbs)]]*0.453592</f>
        <v>22.679600000000001</v>
      </c>
      <c r="J524" s="23">
        <v>80</v>
      </c>
      <c r="K524" s="41"/>
    </row>
    <row r="525" spans="1:11" ht="15.75" customHeight="1">
      <c r="A525" s="28" t="s">
        <v>186</v>
      </c>
      <c r="B525" s="28" t="s">
        <v>28</v>
      </c>
      <c r="C525" s="28" t="s">
        <v>14</v>
      </c>
      <c r="D525" s="28" t="str">
        <f>VLOOKUP(Table1[[#This Row],[Point of Origin]],Table2[#All],2,0)</f>
        <v>USA</v>
      </c>
      <c r="E525" s="28" t="str">
        <f>VLOOKUP(Table1[[#This Row],[Point of Origin]],Table2[#All],3,0)</f>
        <v>Domestic</v>
      </c>
      <c r="F525" s="28" t="s">
        <v>54</v>
      </c>
      <c r="G525" s="21" t="s">
        <v>30</v>
      </c>
      <c r="H525" s="22">
        <v>36</v>
      </c>
      <c r="I525" s="22">
        <f>Table1[[#This Row],[Total Weight Imported (lbs)]]*0.453592</f>
        <v>16.329312000000002</v>
      </c>
      <c r="J525" s="23">
        <v>94.5</v>
      </c>
      <c r="K525" s="41"/>
    </row>
    <row r="526" spans="1:11" ht="15.75" customHeight="1">
      <c r="A526" s="28" t="s">
        <v>186</v>
      </c>
      <c r="B526" s="28" t="s">
        <v>28</v>
      </c>
      <c r="C526" s="28" t="s">
        <v>14</v>
      </c>
      <c r="D526" s="28" t="str">
        <f>VLOOKUP(Table1[[#This Row],[Point of Origin]],Table2[#All],2,0)</f>
        <v>USA</v>
      </c>
      <c r="E526" s="28" t="str">
        <f>VLOOKUP(Table1[[#This Row],[Point of Origin]],Table2[#All],3,0)</f>
        <v>Domestic</v>
      </c>
      <c r="F526" s="28" t="s">
        <v>76</v>
      </c>
      <c r="G526" s="21" t="s">
        <v>77</v>
      </c>
      <c r="H526" s="22">
        <v>80</v>
      </c>
      <c r="I526" s="22">
        <f>Table1[[#This Row],[Total Weight Imported (lbs)]]*0.453592</f>
        <v>36.28736</v>
      </c>
      <c r="J526" s="23">
        <v>142</v>
      </c>
      <c r="K526" s="1"/>
    </row>
    <row r="527" spans="1:11" ht="15.75" customHeight="1">
      <c r="A527" s="28" t="s">
        <v>186</v>
      </c>
      <c r="B527" s="28" t="s">
        <v>28</v>
      </c>
      <c r="C527" s="28" t="s">
        <v>14</v>
      </c>
      <c r="D527" s="28" t="str">
        <f>VLOOKUP(Table1[[#This Row],[Point of Origin]],Table2[#All],2,0)</f>
        <v>USA</v>
      </c>
      <c r="E527" s="28" t="str">
        <f>VLOOKUP(Table1[[#This Row],[Point of Origin]],Table2[#All],3,0)</f>
        <v>Domestic</v>
      </c>
      <c r="F527" s="28" t="s">
        <v>50</v>
      </c>
      <c r="G527" s="21" t="s">
        <v>51</v>
      </c>
      <c r="H527" s="22">
        <v>60</v>
      </c>
      <c r="I527" s="22">
        <f>Table1[[#This Row],[Total Weight Imported (lbs)]]*0.453592</f>
        <v>27.215519999999998</v>
      </c>
      <c r="J527" s="23">
        <v>297.5</v>
      </c>
      <c r="K527" s="41"/>
    </row>
    <row r="528" spans="1:11" ht="15.75" customHeight="1">
      <c r="A528" s="28" t="s">
        <v>186</v>
      </c>
      <c r="B528" s="28" t="s">
        <v>28</v>
      </c>
      <c r="C528" s="28" t="s">
        <v>14</v>
      </c>
      <c r="D528" s="28" t="str">
        <f>VLOOKUP(Table1[[#This Row],[Point of Origin]],Table2[#All],2,0)</f>
        <v>USA</v>
      </c>
      <c r="E528" s="28" t="str">
        <f>VLOOKUP(Table1[[#This Row],[Point of Origin]],Table2[#All],3,0)</f>
        <v>Domestic</v>
      </c>
      <c r="F528" s="28" t="s">
        <v>63</v>
      </c>
      <c r="G528" s="21" t="s">
        <v>64</v>
      </c>
      <c r="H528" s="22">
        <v>735</v>
      </c>
      <c r="I528" s="22">
        <f>Table1[[#This Row],[Total Weight Imported (lbs)]]*0.453592</f>
        <v>333.39012000000002</v>
      </c>
      <c r="J528" s="23">
        <v>672</v>
      </c>
      <c r="K528" s="1"/>
    </row>
    <row r="529" spans="1:11" ht="15.75" customHeight="1">
      <c r="A529" s="28" t="s">
        <v>186</v>
      </c>
      <c r="B529" s="28" t="s">
        <v>28</v>
      </c>
      <c r="C529" s="28" t="s">
        <v>14</v>
      </c>
      <c r="D529" s="28" t="str">
        <f>VLOOKUP(Table1[[#This Row],[Point of Origin]],Table2[#All],2,0)</f>
        <v>USA</v>
      </c>
      <c r="E529" s="28" t="str">
        <f>VLOOKUP(Table1[[#This Row],[Point of Origin]],Table2[#All],3,0)</f>
        <v>Domestic</v>
      </c>
      <c r="F529" s="28" t="s">
        <v>38</v>
      </c>
      <c r="G529" s="21" t="s">
        <v>39</v>
      </c>
      <c r="H529" s="22">
        <v>2200</v>
      </c>
      <c r="I529" s="22">
        <f>Table1[[#This Row],[Total Weight Imported (lbs)]]*0.453592</f>
        <v>997.90239999999994</v>
      </c>
      <c r="J529" s="23">
        <v>5148</v>
      </c>
      <c r="K529" s="41"/>
    </row>
    <row r="530" spans="1:11" ht="15.75" customHeight="1">
      <c r="A530" s="28" t="s">
        <v>186</v>
      </c>
      <c r="B530" s="28" t="s">
        <v>28</v>
      </c>
      <c r="C530" s="28" t="s">
        <v>14</v>
      </c>
      <c r="D530" s="28" t="str">
        <f>VLOOKUP(Table1[[#This Row],[Point of Origin]],Table2[#All],2,0)</f>
        <v>USA</v>
      </c>
      <c r="E530" s="28" t="str">
        <f>VLOOKUP(Table1[[#This Row],[Point of Origin]],Table2[#All],3,0)</f>
        <v>Domestic</v>
      </c>
      <c r="F530" s="28" t="s">
        <v>38</v>
      </c>
      <c r="G530" s="21" t="s">
        <v>39</v>
      </c>
      <c r="H530" s="22">
        <v>800</v>
      </c>
      <c r="I530" s="22">
        <f>Table1[[#This Row],[Total Weight Imported (lbs)]]*0.453592</f>
        <v>362.87360000000001</v>
      </c>
      <c r="J530" s="23">
        <v>1264</v>
      </c>
      <c r="K530" s="41"/>
    </row>
    <row r="531" spans="1:11" ht="15.75" customHeight="1">
      <c r="A531" s="28" t="s">
        <v>186</v>
      </c>
      <c r="B531" s="28" t="s">
        <v>28</v>
      </c>
      <c r="C531" s="28" t="s">
        <v>14</v>
      </c>
      <c r="D531" s="28" t="str">
        <f>VLOOKUP(Table1[[#This Row],[Point of Origin]],Table2[#All],2,0)</f>
        <v>USA</v>
      </c>
      <c r="E531" s="28" t="str">
        <f>VLOOKUP(Table1[[#This Row],[Point of Origin]],Table2[#All],3,0)</f>
        <v>Domestic</v>
      </c>
      <c r="F531" s="36" t="s">
        <v>135</v>
      </c>
      <c r="G531" s="21" t="s">
        <v>136</v>
      </c>
      <c r="H531" s="22">
        <v>600</v>
      </c>
      <c r="I531" s="22">
        <f>Table1[[#This Row],[Total Weight Imported (lbs)]]*0.453592</f>
        <v>272.15519999999998</v>
      </c>
      <c r="J531" s="23">
        <v>555</v>
      </c>
      <c r="K531" s="41"/>
    </row>
    <row r="532" spans="1:11" ht="15.75" customHeight="1">
      <c r="A532" s="28" t="s">
        <v>186</v>
      </c>
      <c r="B532" s="28" t="s">
        <v>28</v>
      </c>
      <c r="C532" s="28" t="s">
        <v>14</v>
      </c>
      <c r="D532" s="28" t="str">
        <f>VLOOKUP(Table1[[#This Row],[Point of Origin]],Table2[#All],2,0)</f>
        <v>USA</v>
      </c>
      <c r="E532" s="28" t="str">
        <f>VLOOKUP(Table1[[#This Row],[Point of Origin]],Table2[#All],3,0)</f>
        <v>Domestic</v>
      </c>
      <c r="F532" s="36" t="s">
        <v>135</v>
      </c>
      <c r="G532" s="21" t="s">
        <v>136</v>
      </c>
      <c r="H532" s="22">
        <v>600</v>
      </c>
      <c r="I532" s="22">
        <f>Table1[[#This Row],[Total Weight Imported (lbs)]]*0.453592</f>
        <v>272.15519999999998</v>
      </c>
      <c r="J532" s="23">
        <v>870</v>
      </c>
      <c r="K532" s="41"/>
    </row>
    <row r="533" spans="1:11" ht="15.75" customHeight="1">
      <c r="A533" s="28" t="s">
        <v>186</v>
      </c>
      <c r="B533" s="28" t="s">
        <v>28</v>
      </c>
      <c r="C533" s="28" t="s">
        <v>14</v>
      </c>
      <c r="D533" s="28" t="str">
        <f>VLOOKUP(Table1[[#This Row],[Point of Origin]],Table2[#All],2,0)</f>
        <v>USA</v>
      </c>
      <c r="E533" s="28" t="str">
        <f>VLOOKUP(Table1[[#This Row],[Point of Origin]],Table2[#All],3,0)</f>
        <v>Domestic</v>
      </c>
      <c r="F533" s="28" t="s">
        <v>40</v>
      </c>
      <c r="G533" s="21" t="s">
        <v>41</v>
      </c>
      <c r="H533" s="22">
        <v>48</v>
      </c>
      <c r="I533" s="22">
        <f>Table1[[#This Row],[Total Weight Imported (lbs)]]*0.453592</f>
        <v>21.772416</v>
      </c>
      <c r="J533" s="23">
        <v>47.5</v>
      </c>
      <c r="K533" s="41"/>
    </row>
    <row r="534" spans="1:11" ht="15.75" customHeight="1">
      <c r="A534" s="28" t="s">
        <v>186</v>
      </c>
      <c r="B534" s="28" t="s">
        <v>28</v>
      </c>
      <c r="C534" s="28" t="s">
        <v>14</v>
      </c>
      <c r="D534" s="28" t="str">
        <f>VLOOKUP(Table1[[#This Row],[Point of Origin]],Table2[#All],2,0)</f>
        <v>USA</v>
      </c>
      <c r="E534" s="28" t="str">
        <f>VLOOKUP(Table1[[#This Row],[Point of Origin]],Table2[#All],3,0)</f>
        <v>Domestic</v>
      </c>
      <c r="F534" s="28" t="s">
        <v>40</v>
      </c>
      <c r="G534" s="21" t="s">
        <v>41</v>
      </c>
      <c r="H534" s="22">
        <v>60</v>
      </c>
      <c r="I534" s="22">
        <f>Table1[[#This Row],[Total Weight Imported (lbs)]]*0.453592</f>
        <v>27.215519999999998</v>
      </c>
      <c r="J534" s="23">
        <v>75</v>
      </c>
      <c r="K534" s="41"/>
    </row>
    <row r="535" spans="1:11" ht="15.75" customHeight="1">
      <c r="A535" s="28" t="s">
        <v>186</v>
      </c>
      <c r="B535" s="28" t="s">
        <v>28</v>
      </c>
      <c r="C535" s="28" t="s">
        <v>14</v>
      </c>
      <c r="D535" s="28" t="str">
        <f>VLOOKUP(Table1[[#This Row],[Point of Origin]],Table2[#All],2,0)</f>
        <v>USA</v>
      </c>
      <c r="E535" s="28" t="str">
        <f>VLOOKUP(Table1[[#This Row],[Point of Origin]],Table2[#All],3,0)</f>
        <v>Domestic</v>
      </c>
      <c r="F535" s="28" t="s">
        <v>76</v>
      </c>
      <c r="G535" s="21" t="s">
        <v>77</v>
      </c>
      <c r="H535" s="22">
        <v>75</v>
      </c>
      <c r="I535" s="22">
        <f>Table1[[#This Row],[Total Weight Imported (lbs)]]*0.453592</f>
        <v>34.019399999999997</v>
      </c>
      <c r="J535" s="23">
        <v>115.5</v>
      </c>
      <c r="K535" s="1"/>
    </row>
    <row r="536" spans="1:11" ht="15.75" customHeight="1">
      <c r="A536" s="27" t="s">
        <v>187</v>
      </c>
      <c r="B536" s="27" t="s">
        <v>28</v>
      </c>
      <c r="C536" s="27" t="s">
        <v>14</v>
      </c>
      <c r="D536" s="20" t="str">
        <f>VLOOKUP(Table1[[#This Row],[Point of Origin]],Table2[#All],2,0)</f>
        <v>USA</v>
      </c>
      <c r="E536" s="20" t="str">
        <f>VLOOKUP(Table1[[#This Row],[Point of Origin]],Table2[#All],3,0)</f>
        <v>Domestic</v>
      </c>
      <c r="F536" s="20" t="s">
        <v>121</v>
      </c>
      <c r="G536" s="21" t="s">
        <v>122</v>
      </c>
      <c r="H536" s="22">
        <v>152</v>
      </c>
      <c r="I536" s="22">
        <f>Table1[[#This Row],[Total Weight Imported (lbs)]]*0.453592</f>
        <v>68.945983999999996</v>
      </c>
      <c r="J536" s="23">
        <v>141</v>
      </c>
      <c r="K536" s="1"/>
    </row>
    <row r="537" spans="1:11" ht="15.75" customHeight="1">
      <c r="A537" s="27" t="s">
        <v>187</v>
      </c>
      <c r="B537" s="27" t="s">
        <v>28</v>
      </c>
      <c r="C537" s="27" t="s">
        <v>14</v>
      </c>
      <c r="D537" s="20" t="str">
        <f>VLOOKUP(Table1[[#This Row],[Point of Origin]],Table2[#All],2,0)</f>
        <v>USA</v>
      </c>
      <c r="E537" s="20" t="str">
        <f>VLOOKUP(Table1[[#This Row],[Point of Origin]],Table2[#All],3,0)</f>
        <v>Domestic</v>
      </c>
      <c r="F537" s="20" t="s">
        <v>121</v>
      </c>
      <c r="G537" s="21" t="s">
        <v>122</v>
      </c>
      <c r="H537" s="22">
        <v>1710</v>
      </c>
      <c r="I537" s="22">
        <f>Table1[[#This Row],[Total Weight Imported (lbs)]]*0.453592</f>
        <v>775.64232000000004</v>
      </c>
      <c r="J537" s="23">
        <v>1203.75</v>
      </c>
      <c r="K537" s="1"/>
    </row>
    <row r="538" spans="1:11" ht="15.75" customHeight="1">
      <c r="A538" s="27" t="s">
        <v>187</v>
      </c>
      <c r="B538" s="27" t="s">
        <v>28</v>
      </c>
      <c r="C538" s="27" t="s">
        <v>14</v>
      </c>
      <c r="D538" s="20" t="str">
        <f>VLOOKUP(Table1[[#This Row],[Point of Origin]],Table2[#All],2,0)</f>
        <v>USA</v>
      </c>
      <c r="E538" s="20" t="str">
        <f>VLOOKUP(Table1[[#This Row],[Point of Origin]],Table2[#All],3,0)</f>
        <v>Domestic</v>
      </c>
      <c r="F538" s="20" t="s">
        <v>121</v>
      </c>
      <c r="G538" s="21" t="s">
        <v>122</v>
      </c>
      <c r="H538" s="22">
        <v>38</v>
      </c>
      <c r="I538" s="22">
        <f>Table1[[#This Row],[Total Weight Imported (lbs)]]*0.453592</f>
        <v>17.236495999999999</v>
      </c>
      <c r="J538" s="23">
        <v>40.15</v>
      </c>
      <c r="K538" s="1"/>
    </row>
    <row r="539" spans="1:11" ht="15.75" customHeight="1">
      <c r="A539" s="27" t="s">
        <v>187</v>
      </c>
      <c r="B539" s="27" t="s">
        <v>28</v>
      </c>
      <c r="C539" s="27" t="s">
        <v>14</v>
      </c>
      <c r="D539" s="20" t="str">
        <f>VLOOKUP(Table1[[#This Row],[Point of Origin]],Table2[#All],2,0)</f>
        <v>USA</v>
      </c>
      <c r="E539" s="20" t="str">
        <f>VLOOKUP(Table1[[#This Row],[Point of Origin]],Table2[#All],3,0)</f>
        <v>Domestic</v>
      </c>
      <c r="F539" s="20" t="s">
        <v>82</v>
      </c>
      <c r="G539" s="21" t="s">
        <v>20</v>
      </c>
      <c r="H539" s="22">
        <v>770</v>
      </c>
      <c r="I539" s="22">
        <f>Table1[[#This Row],[Total Weight Imported (lbs)]]*0.453592</f>
        <v>349.26583999999997</v>
      </c>
      <c r="J539" s="23">
        <v>367.5</v>
      </c>
      <c r="K539" s="41"/>
    </row>
    <row r="540" spans="1:11" ht="15.75" customHeight="1">
      <c r="A540" s="27" t="s">
        <v>187</v>
      </c>
      <c r="B540" s="27" t="s">
        <v>28</v>
      </c>
      <c r="C540" s="27" t="s">
        <v>14</v>
      </c>
      <c r="D540" s="20" t="str">
        <f>VLOOKUP(Table1[[#This Row],[Point of Origin]],Table2[#All],2,0)</f>
        <v>USA</v>
      </c>
      <c r="E540" s="20" t="str">
        <f>VLOOKUP(Table1[[#This Row],[Point of Origin]],Table2[#All],3,0)</f>
        <v>Domestic</v>
      </c>
      <c r="F540" s="20" t="s">
        <v>82</v>
      </c>
      <c r="G540" s="21" t="s">
        <v>20</v>
      </c>
      <c r="H540" s="22">
        <v>220</v>
      </c>
      <c r="I540" s="22">
        <f>Table1[[#This Row],[Total Weight Imported (lbs)]]*0.453592</f>
        <v>99.790239999999997</v>
      </c>
      <c r="J540" s="23">
        <v>112.2</v>
      </c>
      <c r="K540" s="41"/>
    </row>
    <row r="541" spans="1:11" ht="15.75" customHeight="1">
      <c r="A541" s="27" t="s">
        <v>187</v>
      </c>
      <c r="B541" s="27" t="s">
        <v>28</v>
      </c>
      <c r="C541" s="27" t="s">
        <v>14</v>
      </c>
      <c r="D541" s="20" t="str">
        <f>VLOOKUP(Table1[[#This Row],[Point of Origin]],Table2[#All],2,0)</f>
        <v>USA</v>
      </c>
      <c r="E541" s="20" t="str">
        <f>VLOOKUP(Table1[[#This Row],[Point of Origin]],Table2[#All],3,0)</f>
        <v>Domestic</v>
      </c>
      <c r="F541" s="27" t="s">
        <v>139</v>
      </c>
      <c r="G541" s="21" t="s">
        <v>140</v>
      </c>
      <c r="H541" s="22">
        <v>392</v>
      </c>
      <c r="I541" s="22">
        <f>Table1[[#This Row],[Total Weight Imported (lbs)]]*0.453592</f>
        <v>177.808064</v>
      </c>
      <c r="J541" s="23">
        <v>1024.8</v>
      </c>
      <c r="K541" s="41"/>
    </row>
    <row r="542" spans="1:11" ht="15.75" customHeight="1">
      <c r="A542" s="27" t="s">
        <v>187</v>
      </c>
      <c r="B542" s="27" t="s">
        <v>28</v>
      </c>
      <c r="C542" s="27" t="s">
        <v>14</v>
      </c>
      <c r="D542" s="20" t="str">
        <f>VLOOKUP(Table1[[#This Row],[Point of Origin]],Table2[#All],2,0)</f>
        <v>USA</v>
      </c>
      <c r="E542" s="20" t="str">
        <f>VLOOKUP(Table1[[#This Row],[Point of Origin]],Table2[#All],3,0)</f>
        <v>Domestic</v>
      </c>
      <c r="F542" s="20" t="s">
        <v>154</v>
      </c>
      <c r="G542" s="21" t="s">
        <v>155</v>
      </c>
      <c r="H542" s="22">
        <v>144</v>
      </c>
      <c r="I542" s="22">
        <f>Table1[[#This Row],[Total Weight Imported (lbs)]]*0.453592</f>
        <v>65.317248000000006</v>
      </c>
      <c r="J542" s="23">
        <v>155.6</v>
      </c>
      <c r="K542" s="1"/>
    </row>
    <row r="543" spans="1:11" ht="15.75" customHeight="1">
      <c r="A543" s="27" t="s">
        <v>187</v>
      </c>
      <c r="B543" s="27" t="s">
        <v>28</v>
      </c>
      <c r="C543" s="27" t="s">
        <v>14</v>
      </c>
      <c r="D543" s="20" t="str">
        <f>VLOOKUP(Table1[[#This Row],[Point of Origin]],Table2[#All],2,0)</f>
        <v>USA</v>
      </c>
      <c r="E543" s="20" t="str">
        <f>VLOOKUP(Table1[[#This Row],[Point of Origin]],Table2[#All],3,0)</f>
        <v>Domestic</v>
      </c>
      <c r="F543" s="27" t="s">
        <v>96</v>
      </c>
      <c r="G543" s="21" t="s">
        <v>97</v>
      </c>
      <c r="H543" s="22">
        <v>60</v>
      </c>
      <c r="I543" s="22">
        <f>Table1[[#This Row],[Total Weight Imported (lbs)]]*0.453592</f>
        <v>27.215519999999998</v>
      </c>
      <c r="J543" s="23">
        <v>196.2</v>
      </c>
      <c r="K543" s="1"/>
    </row>
    <row r="544" spans="1:11" ht="15.75" customHeight="1">
      <c r="A544" s="27" t="s">
        <v>187</v>
      </c>
      <c r="B544" s="27" t="s">
        <v>28</v>
      </c>
      <c r="C544" s="27" t="s">
        <v>14</v>
      </c>
      <c r="D544" s="20" t="str">
        <f>VLOOKUP(Table1[[#This Row],[Point of Origin]],Table2[#All],2,0)</f>
        <v>USA</v>
      </c>
      <c r="E544" s="20" t="str">
        <f>VLOOKUP(Table1[[#This Row],[Point of Origin]],Table2[#All],3,0)</f>
        <v>Domestic</v>
      </c>
      <c r="F544" s="20" t="s">
        <v>43</v>
      </c>
      <c r="G544" s="21" t="s">
        <v>44</v>
      </c>
      <c r="H544" s="22">
        <v>1360</v>
      </c>
      <c r="I544" s="22">
        <f>Table1[[#This Row],[Total Weight Imported (lbs)]]*0.453592</f>
        <v>616.88512000000003</v>
      </c>
      <c r="J544" s="23">
        <v>1514.7</v>
      </c>
      <c r="K544" s="41"/>
    </row>
    <row r="545" spans="1:11" ht="15.75" customHeight="1">
      <c r="A545" s="28" t="s">
        <v>188</v>
      </c>
      <c r="B545" s="28" t="s">
        <v>28</v>
      </c>
      <c r="C545" s="28" t="s">
        <v>14</v>
      </c>
      <c r="D545" s="28" t="str">
        <f>VLOOKUP(Table1[[#This Row],[Point of Origin]],Table2[#All],2,0)</f>
        <v>USA</v>
      </c>
      <c r="E545" s="28" t="str">
        <f>VLOOKUP(Table1[[#This Row],[Point of Origin]],Table2[#All],3,0)</f>
        <v>Domestic</v>
      </c>
      <c r="F545" s="28" t="s">
        <v>121</v>
      </c>
      <c r="G545" s="21" t="s">
        <v>122</v>
      </c>
      <c r="H545" s="22">
        <v>108</v>
      </c>
      <c r="I545" s="22">
        <f>Table1[[#This Row],[Total Weight Imported (lbs)]]*0.453592</f>
        <v>48.987935999999998</v>
      </c>
      <c r="J545" s="23">
        <v>92.25</v>
      </c>
      <c r="K545" s="1"/>
    </row>
    <row r="546" spans="1:11" ht="15.75" customHeight="1">
      <c r="A546" s="28" t="s">
        <v>188</v>
      </c>
      <c r="B546" s="28" t="s">
        <v>28</v>
      </c>
      <c r="C546" s="28" t="s">
        <v>14</v>
      </c>
      <c r="D546" s="28" t="str">
        <f>VLOOKUP(Table1[[#This Row],[Point of Origin]],Table2[#All],2,0)</f>
        <v>USA</v>
      </c>
      <c r="E546" s="28" t="str">
        <f>VLOOKUP(Table1[[#This Row],[Point of Origin]],Table2[#All],3,0)</f>
        <v>Domestic</v>
      </c>
      <c r="F546" s="28" t="s">
        <v>121</v>
      </c>
      <c r="G546" s="21" t="s">
        <v>122</v>
      </c>
      <c r="H546" s="22">
        <v>72</v>
      </c>
      <c r="I546" s="22">
        <f>Table1[[#This Row],[Total Weight Imported (lbs)]]*0.453592</f>
        <v>32.658624000000003</v>
      </c>
      <c r="J546" s="23">
        <v>53.5</v>
      </c>
      <c r="K546" s="1"/>
    </row>
    <row r="547" spans="1:11" ht="15.75" customHeight="1">
      <c r="A547" s="28" t="s">
        <v>188</v>
      </c>
      <c r="B547" s="28" t="s">
        <v>28</v>
      </c>
      <c r="C547" s="28" t="s">
        <v>14</v>
      </c>
      <c r="D547" s="28" t="str">
        <f>VLOOKUP(Table1[[#This Row],[Point of Origin]],Table2[#All],2,0)</f>
        <v>USA</v>
      </c>
      <c r="E547" s="28" t="str">
        <f>VLOOKUP(Table1[[#This Row],[Point of Origin]],Table2[#All],3,0)</f>
        <v>Domestic</v>
      </c>
      <c r="F547" s="28" t="s">
        <v>121</v>
      </c>
      <c r="G547" s="21" t="s">
        <v>122</v>
      </c>
      <c r="H547" s="22">
        <v>72</v>
      </c>
      <c r="I547" s="22">
        <f>Table1[[#This Row],[Total Weight Imported (lbs)]]*0.453592</f>
        <v>32.658624000000003</v>
      </c>
      <c r="J547" s="23">
        <v>57.5</v>
      </c>
      <c r="K547" s="1"/>
    </row>
    <row r="548" spans="1:11" ht="15.75" customHeight="1">
      <c r="A548" s="28" t="s">
        <v>188</v>
      </c>
      <c r="B548" s="28" t="s">
        <v>28</v>
      </c>
      <c r="C548" s="28" t="s">
        <v>14</v>
      </c>
      <c r="D548" s="28" t="str">
        <f>VLOOKUP(Table1[[#This Row],[Point of Origin]],Table2[#All],2,0)</f>
        <v>USA</v>
      </c>
      <c r="E548" s="28" t="str">
        <f>VLOOKUP(Table1[[#This Row],[Point of Origin]],Table2[#All],3,0)</f>
        <v>Domestic</v>
      </c>
      <c r="F548" s="28" t="s">
        <v>90</v>
      </c>
      <c r="G548" s="21" t="s">
        <v>70</v>
      </c>
      <c r="H548" s="22">
        <v>18</v>
      </c>
      <c r="I548" s="22">
        <f>Table1[[#This Row],[Total Weight Imported (lbs)]]*0.453592</f>
        <v>8.1646560000000008</v>
      </c>
      <c r="J548" s="23">
        <v>183.8</v>
      </c>
      <c r="K548" s="1"/>
    </row>
    <row r="549" spans="1:11" ht="15.75" customHeight="1">
      <c r="A549" s="28" t="s">
        <v>188</v>
      </c>
      <c r="B549" s="28" t="s">
        <v>28</v>
      </c>
      <c r="C549" s="28" t="s">
        <v>14</v>
      </c>
      <c r="D549" s="28" t="str">
        <f>VLOOKUP(Table1[[#This Row],[Point of Origin]],Table2[#All],2,0)</f>
        <v>USA</v>
      </c>
      <c r="E549" s="28" t="str">
        <f>VLOOKUP(Table1[[#This Row],[Point of Origin]],Table2[#All],3,0)</f>
        <v>Domestic</v>
      </c>
      <c r="F549" s="28" t="s">
        <v>19</v>
      </c>
      <c r="G549" s="21" t="s">
        <v>20</v>
      </c>
      <c r="H549" s="22">
        <v>225</v>
      </c>
      <c r="I549" s="22">
        <f>Table1[[#This Row],[Total Weight Imported (lbs)]]*0.453592</f>
        <v>102.0582</v>
      </c>
      <c r="J549" s="23">
        <v>242.55</v>
      </c>
      <c r="K549" s="41"/>
    </row>
    <row r="550" spans="1:11" ht="15.75" customHeight="1">
      <c r="A550" s="28" t="s">
        <v>188</v>
      </c>
      <c r="B550" s="28" t="s">
        <v>28</v>
      </c>
      <c r="C550" s="28" t="s">
        <v>14</v>
      </c>
      <c r="D550" s="28" t="str">
        <f>VLOOKUP(Table1[[#This Row],[Point of Origin]],Table2[#All],2,0)</f>
        <v>USA</v>
      </c>
      <c r="E550" s="28" t="str">
        <f>VLOOKUP(Table1[[#This Row],[Point of Origin]],Table2[#All],3,0)</f>
        <v>Domestic</v>
      </c>
      <c r="F550" s="28" t="s">
        <v>124</v>
      </c>
      <c r="G550" s="21" t="s">
        <v>30</v>
      </c>
      <c r="H550" s="22">
        <v>25</v>
      </c>
      <c r="I550" s="22">
        <f>Table1[[#This Row],[Total Weight Imported (lbs)]]*0.453592</f>
        <v>11.3398</v>
      </c>
      <c r="J550" s="23">
        <v>22.95</v>
      </c>
      <c r="K550" s="41"/>
    </row>
    <row r="551" spans="1:11" ht="15.75" customHeight="1">
      <c r="A551" s="28" t="s">
        <v>188</v>
      </c>
      <c r="B551" s="28" t="s">
        <v>28</v>
      </c>
      <c r="C551" s="28" t="s">
        <v>14</v>
      </c>
      <c r="D551" s="28" t="str">
        <f>VLOOKUP(Table1[[#This Row],[Point of Origin]],Table2[#All],2,0)</f>
        <v>USA</v>
      </c>
      <c r="E551" s="28" t="str">
        <f>VLOOKUP(Table1[[#This Row],[Point of Origin]],Table2[#All],3,0)</f>
        <v>Domestic</v>
      </c>
      <c r="F551" s="36" t="s">
        <v>87</v>
      </c>
      <c r="G551" s="21" t="s">
        <v>20</v>
      </c>
      <c r="H551" s="22">
        <v>72</v>
      </c>
      <c r="I551" s="22">
        <f>Table1[[#This Row],[Total Weight Imported (lbs)]]*0.453592</f>
        <v>32.658624000000003</v>
      </c>
      <c r="J551" s="23">
        <v>45.7</v>
      </c>
      <c r="K551" s="41"/>
    </row>
    <row r="552" spans="1:11" ht="15.75" customHeight="1">
      <c r="A552" s="28" t="s">
        <v>188</v>
      </c>
      <c r="B552" s="28" t="s">
        <v>28</v>
      </c>
      <c r="C552" s="28" t="s">
        <v>14</v>
      </c>
      <c r="D552" s="28" t="str">
        <f>VLOOKUP(Table1[[#This Row],[Point of Origin]],Table2[#All],2,0)</f>
        <v>USA</v>
      </c>
      <c r="E552" s="28" t="str">
        <f>VLOOKUP(Table1[[#This Row],[Point of Origin]],Table2[#All],3,0)</f>
        <v>Domestic</v>
      </c>
      <c r="F552" s="28" t="s">
        <v>36</v>
      </c>
      <c r="G552" s="21" t="s">
        <v>37</v>
      </c>
      <c r="H552" s="22">
        <v>78</v>
      </c>
      <c r="I552" s="22">
        <f>Table1[[#This Row],[Total Weight Imported (lbs)]]*0.453592</f>
        <v>35.380175999999999</v>
      </c>
      <c r="J552" s="23">
        <v>297.05</v>
      </c>
      <c r="K552" s="1"/>
    </row>
    <row r="553" spans="1:11" ht="15.75" customHeight="1">
      <c r="A553" s="28" t="s">
        <v>188</v>
      </c>
      <c r="B553" s="28" t="s">
        <v>28</v>
      </c>
      <c r="C553" s="28" t="s">
        <v>14</v>
      </c>
      <c r="D553" s="28" t="str">
        <f>VLOOKUP(Table1[[#This Row],[Point of Origin]],Table2[#All],2,0)</f>
        <v>USA</v>
      </c>
      <c r="E553" s="28" t="str">
        <f>VLOOKUP(Table1[[#This Row],[Point of Origin]],Table2[#All],3,0)</f>
        <v>Domestic</v>
      </c>
      <c r="F553" s="28" t="s">
        <v>76</v>
      </c>
      <c r="G553" s="21" t="s">
        <v>77</v>
      </c>
      <c r="H553" s="22">
        <v>75</v>
      </c>
      <c r="I553" s="22">
        <f>Table1[[#This Row],[Total Weight Imported (lbs)]]*0.453592</f>
        <v>34.019399999999997</v>
      </c>
      <c r="J553" s="23">
        <v>115.5</v>
      </c>
      <c r="K553" s="1"/>
    </row>
    <row r="554" spans="1:11" ht="15.75" customHeight="1">
      <c r="A554" s="28" t="s">
        <v>188</v>
      </c>
      <c r="B554" s="28" t="s">
        <v>28</v>
      </c>
      <c r="C554" s="28" t="s">
        <v>14</v>
      </c>
      <c r="D554" s="28" t="str">
        <f>VLOOKUP(Table1[[#This Row],[Point of Origin]],Table2[#All],2,0)</f>
        <v>USA</v>
      </c>
      <c r="E554" s="28" t="str">
        <f>VLOOKUP(Table1[[#This Row],[Point of Origin]],Table2[#All],3,0)</f>
        <v>Domestic</v>
      </c>
      <c r="F554" s="28" t="s">
        <v>19</v>
      </c>
      <c r="G554" s="21" t="s">
        <v>20</v>
      </c>
      <c r="H554" s="22">
        <v>600</v>
      </c>
      <c r="I554" s="22">
        <f>Table1[[#This Row],[Total Weight Imported (lbs)]]*0.453592</f>
        <v>272.15519999999998</v>
      </c>
      <c r="J554" s="23">
        <v>745.5</v>
      </c>
      <c r="K554" s="41"/>
    </row>
    <row r="555" spans="1:11" ht="15.75" customHeight="1">
      <c r="A555" s="28" t="s">
        <v>188</v>
      </c>
      <c r="B555" s="28" t="s">
        <v>28</v>
      </c>
      <c r="C555" s="28" t="s">
        <v>14</v>
      </c>
      <c r="D555" s="28" t="str">
        <f>VLOOKUP(Table1[[#This Row],[Point of Origin]],Table2[#All],2,0)</f>
        <v>USA</v>
      </c>
      <c r="E555" s="28" t="str">
        <f>VLOOKUP(Table1[[#This Row],[Point of Origin]],Table2[#All],3,0)</f>
        <v>Domestic</v>
      </c>
      <c r="F555" s="28" t="s">
        <v>59</v>
      </c>
      <c r="G555" s="21" t="s">
        <v>60</v>
      </c>
      <c r="H555" s="22">
        <v>280</v>
      </c>
      <c r="I555" s="22">
        <f>Table1[[#This Row],[Total Weight Imported (lbs)]]*0.453592</f>
        <v>127.00576</v>
      </c>
      <c r="J555" s="23">
        <v>173.95</v>
      </c>
      <c r="K555" s="41"/>
    </row>
    <row r="556" spans="1:11" ht="15.75" customHeight="1">
      <c r="A556" s="28" t="s">
        <v>188</v>
      </c>
      <c r="B556" s="28" t="s">
        <v>28</v>
      </c>
      <c r="C556" s="28" t="s">
        <v>14</v>
      </c>
      <c r="D556" s="28" t="str">
        <f>VLOOKUP(Table1[[#This Row],[Point of Origin]],Table2[#All],2,0)</f>
        <v>USA</v>
      </c>
      <c r="E556" s="28" t="str">
        <f>VLOOKUP(Table1[[#This Row],[Point of Origin]],Table2[#All],3,0)</f>
        <v>Domestic</v>
      </c>
      <c r="F556" s="28" t="s">
        <v>63</v>
      </c>
      <c r="G556" s="21" t="s">
        <v>64</v>
      </c>
      <c r="H556" s="22">
        <v>110</v>
      </c>
      <c r="I556" s="22">
        <f>Table1[[#This Row],[Total Weight Imported (lbs)]]*0.453592</f>
        <v>49.895119999999999</v>
      </c>
      <c r="J556" s="23">
        <v>74.75</v>
      </c>
      <c r="K556" s="1"/>
    </row>
    <row r="557" spans="1:11" ht="15.75" customHeight="1">
      <c r="A557" s="28" t="s">
        <v>188</v>
      </c>
      <c r="B557" s="28" t="s">
        <v>28</v>
      </c>
      <c r="C557" s="28" t="s">
        <v>14</v>
      </c>
      <c r="D557" s="28" t="str">
        <f>VLOOKUP(Table1[[#This Row],[Point of Origin]],Table2[#All],2,0)</f>
        <v>USA</v>
      </c>
      <c r="E557" s="28" t="str">
        <f>VLOOKUP(Table1[[#This Row],[Point of Origin]],Table2[#All],3,0)</f>
        <v>Domestic</v>
      </c>
      <c r="F557" s="28" t="s">
        <v>63</v>
      </c>
      <c r="G557" s="21" t="s">
        <v>64</v>
      </c>
      <c r="H557" s="22">
        <v>110</v>
      </c>
      <c r="I557" s="22">
        <f>Table1[[#This Row],[Total Weight Imported (lbs)]]*0.453592</f>
        <v>49.895119999999999</v>
      </c>
      <c r="J557" s="23">
        <v>94.75</v>
      </c>
      <c r="K557" s="1"/>
    </row>
    <row r="558" spans="1:11" ht="15.75" customHeight="1">
      <c r="A558" s="28" t="s">
        <v>188</v>
      </c>
      <c r="B558" s="28" t="s">
        <v>28</v>
      </c>
      <c r="C558" s="28" t="s">
        <v>14</v>
      </c>
      <c r="D558" s="28" t="str">
        <f>VLOOKUP(Table1[[#This Row],[Point of Origin]],Table2[#All],2,0)</f>
        <v>USA</v>
      </c>
      <c r="E558" s="28" t="str">
        <f>VLOOKUP(Table1[[#This Row],[Point of Origin]],Table2[#All],3,0)</f>
        <v>Domestic</v>
      </c>
      <c r="F558" s="28" t="s">
        <v>118</v>
      </c>
      <c r="G558" s="21" t="s">
        <v>32</v>
      </c>
      <c r="H558" s="22">
        <v>8</v>
      </c>
      <c r="I558" s="22">
        <f>Table1[[#This Row],[Total Weight Imported (lbs)]]*0.453592</f>
        <v>3.628736</v>
      </c>
      <c r="J558" s="23">
        <v>120</v>
      </c>
      <c r="K558" s="1"/>
    </row>
    <row r="559" spans="1:11" ht="15.75" customHeight="1">
      <c r="A559" s="28" t="s">
        <v>188</v>
      </c>
      <c r="B559" s="28" t="s">
        <v>28</v>
      </c>
      <c r="C559" s="28" t="s">
        <v>14</v>
      </c>
      <c r="D559" s="28" t="str">
        <f>VLOOKUP(Table1[[#This Row],[Point of Origin]],Table2[#All],2,0)</f>
        <v>USA</v>
      </c>
      <c r="E559" s="28" t="str">
        <f>VLOOKUP(Table1[[#This Row],[Point of Origin]],Table2[#All],3,0)</f>
        <v>Domestic</v>
      </c>
      <c r="F559" s="28" t="s">
        <v>40</v>
      </c>
      <c r="G559" s="21" t="s">
        <v>41</v>
      </c>
      <c r="H559" s="22">
        <v>40</v>
      </c>
      <c r="I559" s="22">
        <f>Table1[[#This Row],[Total Weight Imported (lbs)]]*0.453592</f>
        <v>18.14368</v>
      </c>
      <c r="J559" s="23">
        <v>45.7</v>
      </c>
      <c r="K559" s="41"/>
    </row>
    <row r="560" spans="1:11" ht="15.75" customHeight="1">
      <c r="A560" s="28" t="s">
        <v>188</v>
      </c>
      <c r="B560" s="28" t="s">
        <v>28</v>
      </c>
      <c r="C560" s="28" t="s">
        <v>14</v>
      </c>
      <c r="D560" s="28" t="str">
        <f>VLOOKUP(Table1[[#This Row],[Point of Origin]],Table2[#All],2,0)</f>
        <v>USA</v>
      </c>
      <c r="E560" s="28" t="str">
        <f>VLOOKUP(Table1[[#This Row],[Point of Origin]],Table2[#All],3,0)</f>
        <v>Domestic</v>
      </c>
      <c r="F560" s="28" t="s">
        <v>59</v>
      </c>
      <c r="G560" s="21" t="s">
        <v>60</v>
      </c>
      <c r="H560" s="22">
        <v>36</v>
      </c>
      <c r="I560" s="22">
        <f>Table1[[#This Row],[Total Weight Imported (lbs)]]*0.453592</f>
        <v>16.329312000000002</v>
      </c>
      <c r="J560" s="23">
        <v>51.7</v>
      </c>
      <c r="K560" s="41"/>
    </row>
    <row r="561" spans="1:11" ht="15.75" customHeight="1">
      <c r="A561" s="28" t="s">
        <v>188</v>
      </c>
      <c r="B561" s="28" t="s">
        <v>28</v>
      </c>
      <c r="C561" s="28" t="s">
        <v>14</v>
      </c>
      <c r="D561" s="28" t="str">
        <f>VLOOKUP(Table1[[#This Row],[Point of Origin]],Table2[#All],2,0)</f>
        <v>USA</v>
      </c>
      <c r="E561" s="28" t="str">
        <f>VLOOKUP(Table1[[#This Row],[Point of Origin]],Table2[#All],3,0)</f>
        <v>Domestic</v>
      </c>
      <c r="F561" s="28" t="s">
        <v>36</v>
      </c>
      <c r="G561" s="21" t="s">
        <v>37</v>
      </c>
      <c r="H561" s="22">
        <v>15</v>
      </c>
      <c r="I561" s="22">
        <f>Table1[[#This Row],[Total Weight Imported (lbs)]]*0.453592</f>
        <v>6.8038799999999995</v>
      </c>
      <c r="J561" s="23">
        <v>74.25</v>
      </c>
      <c r="K561" s="1"/>
    </row>
    <row r="562" spans="1:11" ht="15.75" customHeight="1">
      <c r="A562" s="28" t="s">
        <v>188</v>
      </c>
      <c r="B562" s="28" t="s">
        <v>28</v>
      </c>
      <c r="C562" s="28" t="s">
        <v>14</v>
      </c>
      <c r="D562" s="28" t="str">
        <f>VLOOKUP(Table1[[#This Row],[Point of Origin]],Table2[#All],2,0)</f>
        <v>USA</v>
      </c>
      <c r="E562" s="28" t="str">
        <f>VLOOKUP(Table1[[#This Row],[Point of Origin]],Table2[#All],3,0)</f>
        <v>Domestic</v>
      </c>
      <c r="F562" s="28" t="s">
        <v>59</v>
      </c>
      <c r="G562" s="21" t="s">
        <v>60</v>
      </c>
      <c r="H562" s="22">
        <v>40</v>
      </c>
      <c r="I562" s="22">
        <f>Table1[[#This Row],[Total Weight Imported (lbs)]]*0.453592</f>
        <v>18.14368</v>
      </c>
      <c r="J562" s="23">
        <v>45</v>
      </c>
      <c r="K562" s="41"/>
    </row>
    <row r="563" spans="1:11" ht="15.75" customHeight="1">
      <c r="A563" s="28" t="s">
        <v>188</v>
      </c>
      <c r="B563" s="28" t="s">
        <v>28</v>
      </c>
      <c r="C563" s="28" t="s">
        <v>14</v>
      </c>
      <c r="D563" s="28" t="str">
        <f>VLOOKUP(Table1[[#This Row],[Point of Origin]],Table2[#All],2,0)</f>
        <v>USA</v>
      </c>
      <c r="E563" s="28" t="str">
        <f>VLOOKUP(Table1[[#This Row],[Point of Origin]],Table2[#All],3,0)</f>
        <v>Domestic</v>
      </c>
      <c r="F563" s="28" t="s">
        <v>82</v>
      </c>
      <c r="G563" s="21" t="s">
        <v>20</v>
      </c>
      <c r="H563" s="22">
        <v>1350</v>
      </c>
      <c r="I563" s="22">
        <f>Table1[[#This Row],[Total Weight Imported (lbs)]]*0.453592</f>
        <v>612.3492</v>
      </c>
      <c r="J563" s="23">
        <v>805.5</v>
      </c>
      <c r="K563" s="41"/>
    </row>
    <row r="564" spans="1:11" ht="15.75" customHeight="1">
      <c r="A564" s="28" t="s">
        <v>188</v>
      </c>
      <c r="B564" s="28" t="s">
        <v>28</v>
      </c>
      <c r="C564" s="28" t="s">
        <v>14</v>
      </c>
      <c r="D564" s="28" t="str">
        <f>VLOOKUP(Table1[[#This Row],[Point of Origin]],Table2[#All],2,0)</f>
        <v>USA</v>
      </c>
      <c r="E564" s="28" t="str">
        <f>VLOOKUP(Table1[[#This Row],[Point of Origin]],Table2[#All],3,0)</f>
        <v>Domestic</v>
      </c>
      <c r="F564" s="28" t="s">
        <v>82</v>
      </c>
      <c r="G564" s="21" t="s">
        <v>20</v>
      </c>
      <c r="H564" s="22">
        <v>45</v>
      </c>
      <c r="I564" s="22">
        <f>Table1[[#This Row],[Total Weight Imported (lbs)]]*0.453592</f>
        <v>20.411639999999998</v>
      </c>
      <c r="J564" s="23">
        <v>28.85</v>
      </c>
      <c r="K564" s="41"/>
    </row>
    <row r="565" spans="1:11" ht="15.75" customHeight="1">
      <c r="A565" s="28" t="s">
        <v>188</v>
      </c>
      <c r="B565" s="28" t="s">
        <v>28</v>
      </c>
      <c r="C565" s="28" t="s">
        <v>14</v>
      </c>
      <c r="D565" s="28" t="str">
        <f>VLOOKUP(Table1[[#This Row],[Point of Origin]],Table2[#All],2,0)</f>
        <v>USA</v>
      </c>
      <c r="E565" s="28" t="str">
        <f>VLOOKUP(Table1[[#This Row],[Point of Origin]],Table2[#All],3,0)</f>
        <v>Domestic</v>
      </c>
      <c r="F565" s="28" t="s">
        <v>121</v>
      </c>
      <c r="G565" s="21" t="s">
        <v>122</v>
      </c>
      <c r="H565" s="22">
        <v>80</v>
      </c>
      <c r="I565" s="22">
        <f>Table1[[#This Row],[Total Weight Imported (lbs)]]*0.453592</f>
        <v>36.28736</v>
      </c>
      <c r="J565" s="23">
        <v>85.5</v>
      </c>
      <c r="K565" s="1"/>
    </row>
    <row r="566" spans="1:11" ht="15.75" customHeight="1">
      <c r="A566" s="28" t="s">
        <v>188</v>
      </c>
      <c r="B566" s="28" t="s">
        <v>28</v>
      </c>
      <c r="C566" s="28" t="s">
        <v>14</v>
      </c>
      <c r="D566" s="28" t="str">
        <f>VLOOKUP(Table1[[#This Row],[Point of Origin]],Table2[#All],2,0)</f>
        <v>USA</v>
      </c>
      <c r="E566" s="28" t="str">
        <f>VLOOKUP(Table1[[#This Row],[Point of Origin]],Table2[#All],3,0)</f>
        <v>Domestic</v>
      </c>
      <c r="F566" s="28" t="s">
        <v>121</v>
      </c>
      <c r="G566" s="21" t="s">
        <v>122</v>
      </c>
      <c r="H566" s="22">
        <v>40</v>
      </c>
      <c r="I566" s="22">
        <f>Table1[[#This Row],[Total Weight Imported (lbs)]]*0.453592</f>
        <v>18.14368</v>
      </c>
      <c r="J566" s="23">
        <v>46.75</v>
      </c>
      <c r="K566" s="1"/>
    </row>
    <row r="567" spans="1:11" ht="15.75" customHeight="1">
      <c r="A567" s="28" t="s">
        <v>188</v>
      </c>
      <c r="B567" s="28" t="s">
        <v>28</v>
      </c>
      <c r="C567" s="28" t="s">
        <v>14</v>
      </c>
      <c r="D567" s="28" t="str">
        <f>VLOOKUP(Table1[[#This Row],[Point of Origin]],Table2[#All],2,0)</f>
        <v>USA</v>
      </c>
      <c r="E567" s="28" t="str">
        <f>VLOOKUP(Table1[[#This Row],[Point of Origin]],Table2[#All],3,0)</f>
        <v>Domestic</v>
      </c>
      <c r="F567" s="28" t="s">
        <v>50</v>
      </c>
      <c r="G567" s="21" t="s">
        <v>51</v>
      </c>
      <c r="H567" s="22">
        <v>52.5</v>
      </c>
      <c r="I567" s="22">
        <f>Table1[[#This Row],[Total Weight Imported (lbs)]]*0.453592</f>
        <v>23.813579999999998</v>
      </c>
      <c r="J567" s="23">
        <v>146.65</v>
      </c>
      <c r="K567" s="41"/>
    </row>
    <row r="568" spans="1:11" ht="15.75" customHeight="1">
      <c r="A568" s="28" t="s">
        <v>188</v>
      </c>
      <c r="B568" s="28" t="s">
        <v>28</v>
      </c>
      <c r="C568" s="28" t="s">
        <v>14</v>
      </c>
      <c r="D568" s="28" t="str">
        <f>VLOOKUP(Table1[[#This Row],[Point of Origin]],Table2[#All],2,0)</f>
        <v>USA</v>
      </c>
      <c r="E568" s="28" t="str">
        <f>VLOOKUP(Table1[[#This Row],[Point of Origin]],Table2[#All],3,0)</f>
        <v>Domestic</v>
      </c>
      <c r="F568" s="36" t="s">
        <v>169</v>
      </c>
      <c r="G568" s="21" t="s">
        <v>170</v>
      </c>
      <c r="H568" s="22">
        <v>40</v>
      </c>
      <c r="I568" s="22">
        <f>Table1[[#This Row],[Total Weight Imported (lbs)]]*0.453592</f>
        <v>18.14368</v>
      </c>
      <c r="J568" s="23">
        <v>119</v>
      </c>
      <c r="K568" s="41"/>
    </row>
    <row r="569" spans="1:11" ht="15.75" customHeight="1">
      <c r="A569" s="28" t="s">
        <v>188</v>
      </c>
      <c r="B569" s="28" t="s">
        <v>28</v>
      </c>
      <c r="C569" s="28" t="s">
        <v>14</v>
      </c>
      <c r="D569" s="28" t="str">
        <f>VLOOKUP(Table1[[#This Row],[Point of Origin]],Table2[#All],2,0)</f>
        <v>USA</v>
      </c>
      <c r="E569" s="28" t="str">
        <f>VLOOKUP(Table1[[#This Row],[Point of Origin]],Table2[#All],3,0)</f>
        <v>Domestic</v>
      </c>
      <c r="F569" s="36" t="s">
        <v>141</v>
      </c>
      <c r="G569" s="21" t="s">
        <v>145</v>
      </c>
      <c r="H569" s="22">
        <v>2000</v>
      </c>
      <c r="I569" s="22">
        <f>Table1[[#This Row],[Total Weight Imported (lbs)]]*0.453592</f>
        <v>907.18399999999997</v>
      </c>
      <c r="J569" s="23">
        <v>650</v>
      </c>
      <c r="K569" s="41"/>
    </row>
    <row r="570" spans="1:11" ht="15.75" customHeight="1">
      <c r="A570" s="28" t="s">
        <v>188</v>
      </c>
      <c r="B570" s="28" t="s">
        <v>28</v>
      </c>
      <c r="C570" s="28" t="s">
        <v>14</v>
      </c>
      <c r="D570" s="28" t="str">
        <f>VLOOKUP(Table1[[#This Row],[Point of Origin]],Table2[#All],2,0)</f>
        <v>USA</v>
      </c>
      <c r="E570" s="28" t="str">
        <f>VLOOKUP(Table1[[#This Row],[Point of Origin]],Table2[#All],3,0)</f>
        <v>Domestic</v>
      </c>
      <c r="F570" s="28" t="s">
        <v>143</v>
      </c>
      <c r="G570" s="21" t="s">
        <v>144</v>
      </c>
      <c r="H570" s="22">
        <v>114</v>
      </c>
      <c r="I570" s="22">
        <f>Table1[[#This Row],[Total Weight Imported (lbs)]]*0.453592</f>
        <v>51.709488</v>
      </c>
      <c r="J570" s="23">
        <v>128.55000000000001</v>
      </c>
      <c r="K570" s="41"/>
    </row>
    <row r="571" spans="1:11" ht="15.75" customHeight="1">
      <c r="A571" s="28" t="s">
        <v>188</v>
      </c>
      <c r="B571" s="28" t="s">
        <v>28</v>
      </c>
      <c r="C571" s="28" t="s">
        <v>14</v>
      </c>
      <c r="D571" s="28" t="str">
        <f>VLOOKUP(Table1[[#This Row],[Point of Origin]],Table2[#All],2,0)</f>
        <v>USA</v>
      </c>
      <c r="E571" s="28" t="str">
        <f>VLOOKUP(Table1[[#This Row],[Point of Origin]],Table2[#All],3,0)</f>
        <v>Domestic</v>
      </c>
      <c r="F571" s="36" t="s">
        <v>71</v>
      </c>
      <c r="G571" s="21" t="s">
        <v>72</v>
      </c>
      <c r="H571" s="22">
        <v>90</v>
      </c>
      <c r="I571" s="22">
        <f>Table1[[#This Row],[Total Weight Imported (lbs)]]*0.453592</f>
        <v>40.823279999999997</v>
      </c>
      <c r="J571" s="23">
        <v>238.75</v>
      </c>
      <c r="K571" s="41"/>
    </row>
    <row r="572" spans="1:11" ht="15.75" customHeight="1">
      <c r="A572" s="28" t="s">
        <v>188</v>
      </c>
      <c r="B572" s="28" t="s">
        <v>28</v>
      </c>
      <c r="C572" s="28" t="s">
        <v>14</v>
      </c>
      <c r="D572" s="28" t="str">
        <f>VLOOKUP(Table1[[#This Row],[Point of Origin]],Table2[#All],2,0)</f>
        <v>USA</v>
      </c>
      <c r="E572" s="28" t="str">
        <f>VLOOKUP(Table1[[#This Row],[Point of Origin]],Table2[#All],3,0)</f>
        <v>Domestic</v>
      </c>
      <c r="F572" s="28" t="s">
        <v>82</v>
      </c>
      <c r="G572" s="21" t="s">
        <v>20</v>
      </c>
      <c r="H572" s="22">
        <v>500</v>
      </c>
      <c r="I572" s="22">
        <f>Table1[[#This Row],[Total Weight Imported (lbs)]]*0.453592</f>
        <v>226.79599999999999</v>
      </c>
      <c r="J572" s="23">
        <v>369.5</v>
      </c>
      <c r="K572" s="41"/>
    </row>
    <row r="573" spans="1:11" ht="15.75" customHeight="1">
      <c r="A573" s="28" t="s">
        <v>188</v>
      </c>
      <c r="B573" s="28" t="s">
        <v>28</v>
      </c>
      <c r="C573" s="28" t="s">
        <v>14</v>
      </c>
      <c r="D573" s="28" t="str">
        <f>VLOOKUP(Table1[[#This Row],[Point of Origin]],Table2[#All],2,0)</f>
        <v>USA</v>
      </c>
      <c r="E573" s="28" t="str">
        <f>VLOOKUP(Table1[[#This Row],[Point of Origin]],Table2[#All],3,0)</f>
        <v>Domestic</v>
      </c>
      <c r="F573" s="28" t="s">
        <v>56</v>
      </c>
      <c r="G573" s="21" t="s">
        <v>57</v>
      </c>
      <c r="H573" s="22">
        <v>364</v>
      </c>
      <c r="I573" s="22">
        <f>Table1[[#This Row],[Total Weight Imported (lbs)]]*0.453592</f>
        <v>165.10748799999999</v>
      </c>
      <c r="J573" s="23">
        <v>146.65</v>
      </c>
      <c r="K573" s="41"/>
    </row>
    <row r="574" spans="1:11" ht="15.75" customHeight="1">
      <c r="A574" s="28" t="s">
        <v>188</v>
      </c>
      <c r="B574" s="28" t="s">
        <v>28</v>
      </c>
      <c r="C574" s="28" t="s">
        <v>14</v>
      </c>
      <c r="D574" s="28" t="str">
        <f>VLOOKUP(Table1[[#This Row],[Point of Origin]],Table2[#All],2,0)</f>
        <v>USA</v>
      </c>
      <c r="E574" s="28" t="str">
        <f>VLOOKUP(Table1[[#This Row],[Point of Origin]],Table2[#All],3,0)</f>
        <v>Domestic</v>
      </c>
      <c r="F574" s="28" t="s">
        <v>56</v>
      </c>
      <c r="G574" s="21" t="s">
        <v>57</v>
      </c>
      <c r="H574" s="22">
        <v>40</v>
      </c>
      <c r="I574" s="22">
        <f>Table1[[#This Row],[Total Weight Imported (lbs)]]*0.453592</f>
        <v>18.14368</v>
      </c>
      <c r="J574" s="23">
        <v>45.9</v>
      </c>
      <c r="K574" s="41"/>
    </row>
    <row r="575" spans="1:11" ht="15.75" customHeight="1">
      <c r="A575" s="28" t="s">
        <v>188</v>
      </c>
      <c r="B575" s="28" t="s">
        <v>28</v>
      </c>
      <c r="C575" s="28" t="s">
        <v>14</v>
      </c>
      <c r="D575" s="28" t="str">
        <f>VLOOKUP(Table1[[#This Row],[Point of Origin]],Table2[#All],2,0)</f>
        <v>USA</v>
      </c>
      <c r="E575" s="28" t="str">
        <f>VLOOKUP(Table1[[#This Row],[Point of Origin]],Table2[#All],3,0)</f>
        <v>Domestic</v>
      </c>
      <c r="F575" s="28" t="s">
        <v>65</v>
      </c>
      <c r="G575" s="21" t="s">
        <v>66</v>
      </c>
      <c r="H575" s="22">
        <v>64</v>
      </c>
      <c r="I575" s="22">
        <f>Table1[[#This Row],[Total Weight Imported (lbs)]]*0.453592</f>
        <v>29.029888</v>
      </c>
      <c r="J575" s="23">
        <v>166</v>
      </c>
      <c r="K575" s="41"/>
    </row>
    <row r="576" spans="1:11" ht="15.75" customHeight="1">
      <c r="A576" s="28" t="s">
        <v>188</v>
      </c>
      <c r="B576" s="28" t="s">
        <v>28</v>
      </c>
      <c r="C576" s="28" t="s">
        <v>14</v>
      </c>
      <c r="D576" s="28" t="str">
        <f>VLOOKUP(Table1[[#This Row],[Point of Origin]],Table2[#All],2,0)</f>
        <v>USA</v>
      </c>
      <c r="E576" s="28" t="str">
        <f>VLOOKUP(Table1[[#This Row],[Point of Origin]],Table2[#All],3,0)</f>
        <v>Domestic</v>
      </c>
      <c r="F576" s="28" t="s">
        <v>81</v>
      </c>
      <c r="G576" s="21" t="s">
        <v>62</v>
      </c>
      <c r="H576" s="22">
        <v>250</v>
      </c>
      <c r="I576" s="22">
        <f>Table1[[#This Row],[Total Weight Imported (lbs)]]*0.453592</f>
        <v>113.398</v>
      </c>
      <c r="J576" s="23">
        <v>349.5</v>
      </c>
      <c r="K576" s="41"/>
    </row>
    <row r="577" spans="1:11" ht="15.75" customHeight="1">
      <c r="A577" s="28" t="s">
        <v>188</v>
      </c>
      <c r="B577" s="28" t="s">
        <v>28</v>
      </c>
      <c r="C577" s="28" t="s">
        <v>14</v>
      </c>
      <c r="D577" s="28" t="str">
        <f>VLOOKUP(Table1[[#This Row],[Point of Origin]],Table2[#All],2,0)</f>
        <v>USA</v>
      </c>
      <c r="E577" s="28" t="str">
        <f>VLOOKUP(Table1[[#This Row],[Point of Origin]],Table2[#All],3,0)</f>
        <v>Domestic</v>
      </c>
      <c r="F577" s="28" t="s">
        <v>81</v>
      </c>
      <c r="G577" s="21" t="s">
        <v>62</v>
      </c>
      <c r="H577" s="22">
        <v>325</v>
      </c>
      <c r="I577" s="22">
        <f>Table1[[#This Row],[Total Weight Imported (lbs)]]*0.453592</f>
        <v>147.41739999999999</v>
      </c>
      <c r="J577" s="23">
        <v>428.35</v>
      </c>
      <c r="K577" s="41"/>
    </row>
    <row r="578" spans="1:11" ht="15.75" customHeight="1">
      <c r="A578" s="28" t="s">
        <v>188</v>
      </c>
      <c r="B578" s="28" t="s">
        <v>28</v>
      </c>
      <c r="C578" s="28" t="s">
        <v>14</v>
      </c>
      <c r="D578" s="28" t="str">
        <f>VLOOKUP(Table1[[#This Row],[Point of Origin]],Table2[#All],2,0)</f>
        <v>USA</v>
      </c>
      <c r="E578" s="28" t="str">
        <f>VLOOKUP(Table1[[#This Row],[Point of Origin]],Table2[#All],3,0)</f>
        <v>Domestic</v>
      </c>
      <c r="F578" s="36" t="s">
        <v>102</v>
      </c>
      <c r="G578" s="21" t="s">
        <v>32</v>
      </c>
      <c r="H578" s="22">
        <v>18</v>
      </c>
      <c r="I578" s="22">
        <f>Table1[[#This Row],[Total Weight Imported (lbs)]]*0.453592</f>
        <v>8.1646560000000008</v>
      </c>
      <c r="J578" s="23">
        <v>18.95</v>
      </c>
      <c r="K578" s="41"/>
    </row>
    <row r="579" spans="1:11" ht="15.75" customHeight="1">
      <c r="A579" s="28" t="s">
        <v>188</v>
      </c>
      <c r="B579" s="28" t="s">
        <v>28</v>
      </c>
      <c r="C579" s="28" t="s">
        <v>14</v>
      </c>
      <c r="D579" s="28" t="str">
        <f>VLOOKUP(Table1[[#This Row],[Point of Origin]],Table2[#All],2,0)</f>
        <v>USA</v>
      </c>
      <c r="E579" s="28" t="str">
        <f>VLOOKUP(Table1[[#This Row],[Point of Origin]],Table2[#All],3,0)</f>
        <v>Domestic</v>
      </c>
      <c r="F579" s="28" t="s">
        <v>59</v>
      </c>
      <c r="G579" s="21" t="s">
        <v>60</v>
      </c>
      <c r="H579" s="22">
        <v>6</v>
      </c>
      <c r="I579" s="22">
        <f>Table1[[#This Row],[Total Weight Imported (lbs)]]*0.453592</f>
        <v>2.721552</v>
      </c>
      <c r="J579" s="23">
        <v>25.5</v>
      </c>
      <c r="K579" s="41"/>
    </row>
    <row r="580" spans="1:11" ht="15.75" customHeight="1">
      <c r="A580" s="28" t="s">
        <v>188</v>
      </c>
      <c r="B580" s="28" t="s">
        <v>28</v>
      </c>
      <c r="C580" s="28" t="s">
        <v>14</v>
      </c>
      <c r="D580" s="28" t="str">
        <f>VLOOKUP(Table1[[#This Row],[Point of Origin]],Table2[#All],2,0)</f>
        <v>USA</v>
      </c>
      <c r="E580" s="28" t="str">
        <f>VLOOKUP(Table1[[#This Row],[Point of Origin]],Table2[#All],3,0)</f>
        <v>Domestic</v>
      </c>
      <c r="F580" s="28" t="s">
        <v>21</v>
      </c>
      <c r="G580" s="21" t="s">
        <v>22</v>
      </c>
      <c r="H580" s="22">
        <v>12</v>
      </c>
      <c r="I580" s="22">
        <f>Table1[[#This Row],[Total Weight Imported (lbs)]]*0.453592</f>
        <v>5.4431039999999999</v>
      </c>
      <c r="J580" s="23">
        <v>28.75</v>
      </c>
      <c r="K580" s="41"/>
    </row>
    <row r="581" spans="1:11" ht="15.75" customHeight="1">
      <c r="A581" s="28" t="s">
        <v>188</v>
      </c>
      <c r="B581" s="28" t="s">
        <v>28</v>
      </c>
      <c r="C581" s="28" t="s">
        <v>14</v>
      </c>
      <c r="D581" s="28" t="str">
        <f>VLOOKUP(Table1[[#This Row],[Point of Origin]],Table2[#All],2,0)</f>
        <v>USA</v>
      </c>
      <c r="E581" s="28" t="str">
        <f>VLOOKUP(Table1[[#This Row],[Point of Origin]],Table2[#All],3,0)</f>
        <v>Domestic</v>
      </c>
      <c r="F581" s="28" t="s">
        <v>59</v>
      </c>
      <c r="G581" s="21" t="s">
        <v>60</v>
      </c>
      <c r="H581" s="22">
        <v>440</v>
      </c>
      <c r="I581" s="22">
        <f>Table1[[#This Row],[Total Weight Imported (lbs)]]*0.453592</f>
        <v>199.58047999999999</v>
      </c>
      <c r="J581" s="23">
        <v>223.85</v>
      </c>
      <c r="K581" s="41"/>
    </row>
    <row r="582" spans="1:11" ht="15.75" customHeight="1">
      <c r="A582" s="28" t="s">
        <v>188</v>
      </c>
      <c r="B582" s="28" t="s">
        <v>28</v>
      </c>
      <c r="C582" s="28" t="s">
        <v>14</v>
      </c>
      <c r="D582" s="28" t="str">
        <f>VLOOKUP(Table1[[#This Row],[Point of Origin]],Table2[#All],2,0)</f>
        <v>USA</v>
      </c>
      <c r="E582" s="28" t="str">
        <f>VLOOKUP(Table1[[#This Row],[Point of Origin]],Table2[#All],3,0)</f>
        <v>Domestic</v>
      </c>
      <c r="F582" s="36" t="s">
        <v>47</v>
      </c>
      <c r="G582" s="21" t="s">
        <v>32</v>
      </c>
      <c r="H582" s="22">
        <v>120</v>
      </c>
      <c r="I582" s="22">
        <f>Table1[[#This Row],[Total Weight Imported (lbs)]]*0.453592</f>
        <v>54.431039999999996</v>
      </c>
      <c r="J582" s="23">
        <v>135.6</v>
      </c>
      <c r="K582" s="41"/>
    </row>
    <row r="583" spans="1:11" ht="15.75" customHeight="1">
      <c r="A583" s="28" t="s">
        <v>188</v>
      </c>
      <c r="B583" s="28" t="s">
        <v>28</v>
      </c>
      <c r="C583" s="28" t="s">
        <v>14</v>
      </c>
      <c r="D583" s="28" t="str">
        <f>VLOOKUP(Table1[[#This Row],[Point of Origin]],Table2[#All],2,0)</f>
        <v>USA</v>
      </c>
      <c r="E583" s="28" t="str">
        <f>VLOOKUP(Table1[[#This Row],[Point of Origin]],Table2[#All],3,0)</f>
        <v>Domestic</v>
      </c>
      <c r="F583" s="28" t="s">
        <v>59</v>
      </c>
      <c r="G583" s="21" t="s">
        <v>60</v>
      </c>
      <c r="H583" s="22">
        <v>200</v>
      </c>
      <c r="I583" s="22">
        <f>Table1[[#This Row],[Total Weight Imported (lbs)]]*0.453592</f>
        <v>90.718400000000003</v>
      </c>
      <c r="J583" s="23">
        <v>91.75</v>
      </c>
      <c r="K583" s="41"/>
    </row>
    <row r="584" spans="1:11" ht="15.75" customHeight="1">
      <c r="A584" s="28" t="s">
        <v>188</v>
      </c>
      <c r="B584" s="28" t="s">
        <v>28</v>
      </c>
      <c r="C584" s="28" t="s">
        <v>14</v>
      </c>
      <c r="D584" s="28" t="str">
        <f>VLOOKUP(Table1[[#This Row],[Point of Origin]],Table2[#All],2,0)</f>
        <v>USA</v>
      </c>
      <c r="E584" s="28" t="str">
        <f>VLOOKUP(Table1[[#This Row],[Point of Origin]],Table2[#All],3,0)</f>
        <v>Domestic</v>
      </c>
      <c r="F584" s="28" t="s">
        <v>59</v>
      </c>
      <c r="G584" s="21" t="s">
        <v>60</v>
      </c>
      <c r="H584" s="22">
        <v>360</v>
      </c>
      <c r="I584" s="22">
        <f>Table1[[#This Row],[Total Weight Imported (lbs)]]*0.453592</f>
        <v>163.29311999999999</v>
      </c>
      <c r="J584" s="23">
        <v>210.15</v>
      </c>
      <c r="K584" s="41"/>
    </row>
    <row r="585" spans="1:11" ht="15.75" customHeight="1">
      <c r="A585" s="28" t="s">
        <v>188</v>
      </c>
      <c r="B585" s="28" t="s">
        <v>28</v>
      </c>
      <c r="C585" s="28" t="s">
        <v>14</v>
      </c>
      <c r="D585" s="28" t="str">
        <f>VLOOKUP(Table1[[#This Row],[Point of Origin]],Table2[#All],2,0)</f>
        <v>USA</v>
      </c>
      <c r="E585" s="28" t="str">
        <f>VLOOKUP(Table1[[#This Row],[Point of Origin]],Table2[#All],3,0)</f>
        <v>Domestic</v>
      </c>
      <c r="F585" s="28" t="s">
        <v>121</v>
      </c>
      <c r="G585" s="21" t="s">
        <v>122</v>
      </c>
      <c r="H585" s="22">
        <v>80</v>
      </c>
      <c r="I585" s="22">
        <f>Table1[[#This Row],[Total Weight Imported (lbs)]]*0.453592</f>
        <v>36.28736</v>
      </c>
      <c r="J585" s="23">
        <v>73.5</v>
      </c>
      <c r="K585" s="1"/>
    </row>
    <row r="586" spans="1:11" ht="15.75" customHeight="1">
      <c r="A586" s="28" t="s">
        <v>188</v>
      </c>
      <c r="B586" s="28" t="s">
        <v>28</v>
      </c>
      <c r="C586" s="28" t="s">
        <v>14</v>
      </c>
      <c r="D586" s="28" t="str">
        <f>VLOOKUP(Table1[[#This Row],[Point of Origin]],Table2[#All],2,0)</f>
        <v>USA</v>
      </c>
      <c r="E586" s="28" t="str">
        <f>VLOOKUP(Table1[[#This Row],[Point of Origin]],Table2[#All],3,0)</f>
        <v>Domestic</v>
      </c>
      <c r="F586" s="28" t="s">
        <v>54</v>
      </c>
      <c r="G586" s="21" t="s">
        <v>30</v>
      </c>
      <c r="H586" s="22">
        <v>22.5</v>
      </c>
      <c r="I586" s="22">
        <f>Table1[[#This Row],[Total Weight Imported (lbs)]]*0.453592</f>
        <v>10.205819999999999</v>
      </c>
      <c r="J586" s="23">
        <v>49.9</v>
      </c>
      <c r="K586" s="41"/>
    </row>
    <row r="587" spans="1:11" ht="15.75" customHeight="1">
      <c r="A587" s="28" t="s">
        <v>188</v>
      </c>
      <c r="B587" s="28" t="s">
        <v>28</v>
      </c>
      <c r="C587" s="28" t="s">
        <v>14</v>
      </c>
      <c r="D587" s="28" t="str">
        <f>VLOOKUP(Table1[[#This Row],[Point of Origin]],Table2[#All],2,0)</f>
        <v>USA</v>
      </c>
      <c r="E587" s="28" t="str">
        <f>VLOOKUP(Table1[[#This Row],[Point of Origin]],Table2[#All],3,0)</f>
        <v>Domestic</v>
      </c>
      <c r="F587" s="28" t="s">
        <v>43</v>
      </c>
      <c r="G587" s="21" t="s">
        <v>44</v>
      </c>
      <c r="H587" s="22">
        <v>200</v>
      </c>
      <c r="I587" s="22">
        <f>Table1[[#This Row],[Total Weight Imported (lbs)]]*0.453592</f>
        <v>90.718400000000003</v>
      </c>
      <c r="J587" s="23">
        <v>233.75</v>
      </c>
      <c r="K587" s="41"/>
    </row>
    <row r="588" spans="1:11" ht="15.75" customHeight="1">
      <c r="A588" s="28" t="s">
        <v>188</v>
      </c>
      <c r="B588" s="28" t="s">
        <v>28</v>
      </c>
      <c r="C588" s="28" t="s">
        <v>14</v>
      </c>
      <c r="D588" s="28" t="str">
        <f>VLOOKUP(Table1[[#This Row],[Point of Origin]],Table2[#All],2,0)</f>
        <v>USA</v>
      </c>
      <c r="E588" s="28" t="str">
        <f>VLOOKUP(Table1[[#This Row],[Point of Origin]],Table2[#All],3,0)</f>
        <v>Domestic</v>
      </c>
      <c r="F588" s="28" t="s">
        <v>154</v>
      </c>
      <c r="G588" s="21" t="s">
        <v>155</v>
      </c>
      <c r="H588" s="22">
        <v>70</v>
      </c>
      <c r="I588" s="22">
        <f>Table1[[#This Row],[Total Weight Imported (lbs)]]*0.453592</f>
        <v>31.751439999999999</v>
      </c>
      <c r="J588" s="23">
        <v>119.5</v>
      </c>
      <c r="K588" s="1"/>
    </row>
    <row r="589" spans="1:11" ht="15.75" customHeight="1">
      <c r="A589" s="28" t="s">
        <v>188</v>
      </c>
      <c r="B589" s="28" t="s">
        <v>28</v>
      </c>
      <c r="C589" s="28" t="s">
        <v>14</v>
      </c>
      <c r="D589" s="28" t="str">
        <f>VLOOKUP(Table1[[#This Row],[Point of Origin]],Table2[#All],2,0)</f>
        <v>USA</v>
      </c>
      <c r="E589" s="28" t="str">
        <f>VLOOKUP(Table1[[#This Row],[Point of Origin]],Table2[#All],3,0)</f>
        <v>Domestic</v>
      </c>
      <c r="F589" s="36" t="s">
        <v>71</v>
      </c>
      <c r="G589" s="21" t="s">
        <v>72</v>
      </c>
      <c r="H589" s="22">
        <v>90</v>
      </c>
      <c r="I589" s="22">
        <f>Table1[[#This Row],[Total Weight Imported (lbs)]]*0.453592</f>
        <v>40.823279999999997</v>
      </c>
      <c r="J589" s="23">
        <v>228.75</v>
      </c>
      <c r="K589" s="41"/>
    </row>
    <row r="590" spans="1:11" ht="15.75" customHeight="1">
      <c r="A590" s="28" t="s">
        <v>188</v>
      </c>
      <c r="B590" s="28" t="s">
        <v>28</v>
      </c>
      <c r="C590" s="28" t="s">
        <v>14</v>
      </c>
      <c r="D590" s="28" t="str">
        <f>VLOOKUP(Table1[[#This Row],[Point of Origin]],Table2[#All],2,0)</f>
        <v>USA</v>
      </c>
      <c r="E590" s="28" t="str">
        <f>VLOOKUP(Table1[[#This Row],[Point of Origin]],Table2[#All],3,0)</f>
        <v>Domestic</v>
      </c>
      <c r="F590" s="36" t="s">
        <v>71</v>
      </c>
      <c r="G590" s="21" t="s">
        <v>72</v>
      </c>
      <c r="H590" s="22">
        <v>90</v>
      </c>
      <c r="I590" s="22">
        <f>Table1[[#This Row],[Total Weight Imported (lbs)]]*0.453592</f>
        <v>40.823279999999997</v>
      </c>
      <c r="J590" s="23">
        <v>233.75</v>
      </c>
      <c r="K590" s="41"/>
    </row>
    <row r="591" spans="1:11" ht="15.75" customHeight="1">
      <c r="A591" s="28" t="s">
        <v>188</v>
      </c>
      <c r="B591" s="28" t="s">
        <v>28</v>
      </c>
      <c r="C591" s="28" t="s">
        <v>14</v>
      </c>
      <c r="D591" s="28" t="str">
        <f>VLOOKUP(Table1[[#This Row],[Point of Origin]],Table2[#All],2,0)</f>
        <v>USA</v>
      </c>
      <c r="E591" s="28" t="str">
        <f>VLOOKUP(Table1[[#This Row],[Point of Origin]],Table2[#All],3,0)</f>
        <v>Domestic</v>
      </c>
      <c r="F591" s="28" t="s">
        <v>48</v>
      </c>
      <c r="G591" s="21" t="s">
        <v>49</v>
      </c>
      <c r="H591" s="22">
        <v>50</v>
      </c>
      <c r="I591" s="22">
        <f>Table1[[#This Row],[Total Weight Imported (lbs)]]*0.453592</f>
        <v>22.679600000000001</v>
      </c>
      <c r="J591" s="23">
        <v>113.75</v>
      </c>
      <c r="K591" s="41"/>
    </row>
    <row r="592" spans="1:11" ht="15.75" customHeight="1">
      <c r="A592" s="28" t="s">
        <v>188</v>
      </c>
      <c r="B592" s="28" t="s">
        <v>28</v>
      </c>
      <c r="C592" s="28" t="s">
        <v>14</v>
      </c>
      <c r="D592" s="28" t="str">
        <f>VLOOKUP(Table1[[#This Row],[Point of Origin]],Table2[#All],2,0)</f>
        <v>USA</v>
      </c>
      <c r="E592" s="28" t="str">
        <f>VLOOKUP(Table1[[#This Row],[Point of Origin]],Table2[#All],3,0)</f>
        <v>Domestic</v>
      </c>
      <c r="F592" s="28" t="s">
        <v>58</v>
      </c>
      <c r="G592" s="21" t="s">
        <v>34</v>
      </c>
      <c r="H592" s="22">
        <v>10</v>
      </c>
      <c r="I592" s="22">
        <f>Table1[[#This Row],[Total Weight Imported (lbs)]]*0.453592</f>
        <v>4.53592</v>
      </c>
      <c r="J592" s="23">
        <v>48.85</v>
      </c>
      <c r="K592" s="1"/>
    </row>
    <row r="593" spans="1:32" ht="15.75" customHeight="1">
      <c r="A593" s="28" t="s">
        <v>188</v>
      </c>
      <c r="B593" s="28" t="s">
        <v>46</v>
      </c>
      <c r="C593" s="28" t="s">
        <v>46</v>
      </c>
      <c r="D593" s="28" t="str">
        <f>VLOOKUP(Table1[[#This Row],[Point of Origin]],Table2[#All],2,0)</f>
        <v>Mexico</v>
      </c>
      <c r="E593" s="28" t="str">
        <f>VLOOKUP(Table1[[#This Row],[Point of Origin]],Table2[#All],3,0)</f>
        <v>International</v>
      </c>
      <c r="F593" s="28" t="s">
        <v>15</v>
      </c>
      <c r="G593" s="21" t="s">
        <v>16</v>
      </c>
      <c r="H593" s="22">
        <v>33</v>
      </c>
      <c r="I593" s="22">
        <f>Table1[[#This Row],[Total Weight Imported (lbs)]]*0.453592</f>
        <v>14.968536</v>
      </c>
      <c r="J593" s="23">
        <v>128.25</v>
      </c>
      <c r="K593" s="41"/>
    </row>
    <row r="594" spans="1:32" ht="15.75" customHeight="1">
      <c r="A594" s="28" t="s">
        <v>188</v>
      </c>
      <c r="B594" s="28" t="s">
        <v>46</v>
      </c>
      <c r="C594" s="28" t="s">
        <v>46</v>
      </c>
      <c r="D594" s="28" t="str">
        <f>VLOOKUP(Table1[[#This Row],[Point of Origin]],Table2[#All],2,0)</f>
        <v>Mexico</v>
      </c>
      <c r="E594" s="28" t="str">
        <f>VLOOKUP(Table1[[#This Row],[Point of Origin]],Table2[#All],3,0)</f>
        <v>International</v>
      </c>
      <c r="F594" s="36" t="s">
        <v>157</v>
      </c>
      <c r="G594" s="21" t="s">
        <v>127</v>
      </c>
      <c r="H594" s="22">
        <v>350</v>
      </c>
      <c r="I594" s="22">
        <f>Table1[[#This Row],[Total Weight Imported (lbs)]]*0.453592</f>
        <v>158.75720000000001</v>
      </c>
      <c r="J594" s="23">
        <v>228.5</v>
      </c>
      <c r="K594" s="41"/>
    </row>
    <row r="595" spans="1:32" ht="15.75" customHeight="1">
      <c r="A595" s="28" t="s">
        <v>188</v>
      </c>
      <c r="B595" s="28" t="s">
        <v>46</v>
      </c>
      <c r="C595" s="28" t="s">
        <v>46</v>
      </c>
      <c r="D595" s="28" t="str">
        <f>VLOOKUP(Table1[[#This Row],[Point of Origin]],Table2[#All],2,0)</f>
        <v>Mexico</v>
      </c>
      <c r="E595" s="28" t="str">
        <f>VLOOKUP(Table1[[#This Row],[Point of Origin]],Table2[#All],3,0)</f>
        <v>International</v>
      </c>
      <c r="F595" s="36" t="s">
        <v>158</v>
      </c>
      <c r="G595" s="21" t="s">
        <v>127</v>
      </c>
      <c r="H595" s="22">
        <v>338</v>
      </c>
      <c r="I595" s="22">
        <f>Table1[[#This Row],[Total Weight Imported (lbs)]]*0.453592</f>
        <v>153.31409600000001</v>
      </c>
      <c r="J595" s="23">
        <v>230.75</v>
      </c>
      <c r="K595" s="41"/>
    </row>
    <row r="596" spans="1:32" ht="15.75" customHeight="1">
      <c r="A596" s="28" t="s">
        <v>188</v>
      </c>
      <c r="B596" s="28" t="s">
        <v>46</v>
      </c>
      <c r="C596" s="28" t="s">
        <v>46</v>
      </c>
      <c r="D596" s="28" t="str">
        <f>VLOOKUP(Table1[[#This Row],[Point of Origin]],Table2[#All],2,0)</f>
        <v>Mexico</v>
      </c>
      <c r="E596" s="28" t="str">
        <f>VLOOKUP(Table1[[#This Row],[Point of Origin]],Table2[#All],3,0)</f>
        <v>International</v>
      </c>
      <c r="F596" s="28" t="s">
        <v>81</v>
      </c>
      <c r="G596" s="21" t="s">
        <v>62</v>
      </c>
      <c r="H596" s="22">
        <v>30</v>
      </c>
      <c r="I596" s="22">
        <f>Table1[[#This Row],[Total Weight Imported (lbs)]]*0.453592</f>
        <v>13.607759999999999</v>
      </c>
      <c r="J596" s="23">
        <v>31.5</v>
      </c>
      <c r="K596" s="1"/>
    </row>
    <row r="597" spans="1:32" ht="15.75" customHeight="1">
      <c r="A597" s="28" t="s">
        <v>188</v>
      </c>
      <c r="B597" s="28" t="s">
        <v>46</v>
      </c>
      <c r="C597" s="28" t="s">
        <v>46</v>
      </c>
      <c r="D597" s="28" t="str">
        <f>VLOOKUP(Table1[[#This Row],[Point of Origin]],Table2[#All],2,0)</f>
        <v>Mexico</v>
      </c>
      <c r="E597" s="28" t="str">
        <f>VLOOKUP(Table1[[#This Row],[Point of Origin]],Table2[#All],3,0)</f>
        <v>International</v>
      </c>
      <c r="F597" s="28" t="s">
        <v>81</v>
      </c>
      <c r="G597" s="21" t="s">
        <v>62</v>
      </c>
      <c r="H597" s="22">
        <v>15</v>
      </c>
      <c r="I597" s="22">
        <f>Table1[[#This Row],[Total Weight Imported (lbs)]]*0.453592</f>
        <v>6.8038799999999995</v>
      </c>
      <c r="J597" s="23">
        <v>36</v>
      </c>
      <c r="K597" s="1"/>
    </row>
    <row r="598" spans="1:32" ht="15.75" customHeight="1">
      <c r="A598" s="28" t="s">
        <v>188</v>
      </c>
      <c r="B598" s="28" t="s">
        <v>46</v>
      </c>
      <c r="C598" s="28" t="s">
        <v>46</v>
      </c>
      <c r="D598" s="28" t="str">
        <f>VLOOKUP(Table1[[#This Row],[Point of Origin]],Table2[#All],2,0)</f>
        <v>Mexico</v>
      </c>
      <c r="E598" s="28" t="str">
        <f>VLOOKUP(Table1[[#This Row],[Point of Origin]],Table2[#All],3,0)</f>
        <v>International</v>
      </c>
      <c r="F598" s="28" t="s">
        <v>81</v>
      </c>
      <c r="G598" s="21" t="s">
        <v>62</v>
      </c>
      <c r="H598" s="22">
        <v>30</v>
      </c>
      <c r="I598" s="22">
        <f>Table1[[#This Row],[Total Weight Imported (lbs)]]*0.453592</f>
        <v>13.607759999999999</v>
      </c>
      <c r="J598" s="23">
        <v>50.25</v>
      </c>
      <c r="K598" s="1"/>
    </row>
    <row r="599" spans="1:32" ht="15.75" customHeight="1">
      <c r="A599" s="28" t="s">
        <v>188</v>
      </c>
      <c r="B599" s="28" t="s">
        <v>46</v>
      </c>
      <c r="C599" s="28" t="s">
        <v>46</v>
      </c>
      <c r="D599" s="28" t="str">
        <f>VLOOKUP(Table1[[#This Row],[Point of Origin]],Table2[#All],2,0)</f>
        <v>Mexico</v>
      </c>
      <c r="E599" s="28" t="str">
        <f>VLOOKUP(Table1[[#This Row],[Point of Origin]],Table2[#All],3,0)</f>
        <v>International</v>
      </c>
      <c r="F599" s="28" t="s">
        <v>38</v>
      </c>
      <c r="G599" s="21" t="s">
        <v>39</v>
      </c>
      <c r="H599" s="22">
        <v>55</v>
      </c>
      <c r="I599" s="22">
        <f>Table1[[#This Row],[Total Weight Imported (lbs)]]*0.453592</f>
        <v>24.947559999999999</v>
      </c>
      <c r="J599" s="23">
        <v>94.75</v>
      </c>
      <c r="K599" s="1"/>
    </row>
    <row r="600" spans="1:32" ht="15.75" customHeight="1">
      <c r="A600" s="28" t="s">
        <v>188</v>
      </c>
      <c r="B600" s="28" t="s">
        <v>46</v>
      </c>
      <c r="C600" s="28" t="s">
        <v>46</v>
      </c>
      <c r="D600" s="28" t="str">
        <f>VLOOKUP(Table1[[#This Row],[Point of Origin]],Table2[#All],2,0)</f>
        <v>Mexico</v>
      </c>
      <c r="E600" s="28" t="str">
        <f>VLOOKUP(Table1[[#This Row],[Point of Origin]],Table2[#All],3,0)</f>
        <v>International</v>
      </c>
      <c r="F600" s="28" t="s">
        <v>81</v>
      </c>
      <c r="G600" s="21" t="s">
        <v>62</v>
      </c>
      <c r="H600" s="22">
        <v>75</v>
      </c>
      <c r="I600" s="22">
        <f>Table1[[#This Row],[Total Weight Imported (lbs)]]*0.453592</f>
        <v>34.019399999999997</v>
      </c>
      <c r="J600" s="23">
        <v>144.75</v>
      </c>
      <c r="K600" s="41"/>
    </row>
    <row r="601" spans="1:32" ht="15.75" customHeight="1">
      <c r="A601" s="28" t="s">
        <v>188</v>
      </c>
      <c r="B601" s="28" t="s">
        <v>46</v>
      </c>
      <c r="C601" s="28" t="s">
        <v>46</v>
      </c>
      <c r="D601" s="28" t="str">
        <f>VLOOKUP(Table1[[#This Row],[Point of Origin]],Table2[#All],2,0)</f>
        <v>Mexico</v>
      </c>
      <c r="E601" s="28" t="str">
        <f>VLOOKUP(Table1[[#This Row],[Point of Origin]],Table2[#All],3,0)</f>
        <v>International</v>
      </c>
      <c r="F601" s="28" t="s">
        <v>38</v>
      </c>
      <c r="G601" s="21" t="s">
        <v>39</v>
      </c>
      <c r="H601" s="22">
        <v>260</v>
      </c>
      <c r="I601" s="22">
        <f>Table1[[#This Row],[Total Weight Imported (lbs)]]*0.453592</f>
        <v>117.93392</v>
      </c>
      <c r="J601" s="23">
        <v>467.35</v>
      </c>
      <c r="K601" s="41"/>
    </row>
    <row r="602" spans="1:32" ht="15.75" customHeight="1">
      <c r="A602" s="28" t="s">
        <v>188</v>
      </c>
      <c r="B602" s="28" t="s">
        <v>46</v>
      </c>
      <c r="C602" s="28" t="s">
        <v>46</v>
      </c>
      <c r="D602" s="28" t="str">
        <f>VLOOKUP(Table1[[#This Row],[Point of Origin]],Table2[#All],2,0)</f>
        <v>Mexico</v>
      </c>
      <c r="E602" s="28" t="str">
        <f>VLOOKUP(Table1[[#This Row],[Point of Origin]],Table2[#All],3,0)</f>
        <v>International</v>
      </c>
      <c r="F602" s="28" t="s">
        <v>38</v>
      </c>
      <c r="G602" s="21" t="s">
        <v>39</v>
      </c>
      <c r="H602" s="22">
        <v>575</v>
      </c>
      <c r="I602" s="22">
        <f>Table1[[#This Row],[Total Weight Imported (lbs)]]*0.453592</f>
        <v>260.81540000000001</v>
      </c>
      <c r="J602" s="23">
        <v>757.85</v>
      </c>
      <c r="K602" s="41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</row>
    <row r="603" spans="1:32" ht="15.75" customHeight="1">
      <c r="A603" s="28" t="s">
        <v>188</v>
      </c>
      <c r="B603" s="28" t="s">
        <v>46</v>
      </c>
      <c r="C603" s="28" t="s">
        <v>46</v>
      </c>
      <c r="D603" s="28" t="str">
        <f>VLOOKUP(Table1[[#This Row],[Point of Origin]],Table2[#All],2,0)</f>
        <v>Mexico</v>
      </c>
      <c r="E603" s="28" t="str">
        <f>VLOOKUP(Table1[[#This Row],[Point of Origin]],Table2[#All],3,0)</f>
        <v>International</v>
      </c>
      <c r="F603" s="36" t="s">
        <v>147</v>
      </c>
      <c r="G603" s="21" t="s">
        <v>138</v>
      </c>
      <c r="H603" s="22">
        <v>72</v>
      </c>
      <c r="I603" s="22">
        <f>Table1[[#This Row],[Total Weight Imported (lbs)]]*0.453592</f>
        <v>32.658624000000003</v>
      </c>
      <c r="J603" s="23">
        <v>80</v>
      </c>
      <c r="K603" s="41"/>
    </row>
    <row r="604" spans="1:32" ht="15.75" customHeight="1">
      <c r="A604" s="28" t="s">
        <v>188</v>
      </c>
      <c r="B604" s="28" t="s">
        <v>46</v>
      </c>
      <c r="C604" s="28" t="s">
        <v>46</v>
      </c>
      <c r="D604" s="28" t="str">
        <f>VLOOKUP(Table1[[#This Row],[Point of Origin]],Table2[#All],2,0)</f>
        <v>Mexico</v>
      </c>
      <c r="E604" s="28" t="str">
        <f>VLOOKUP(Table1[[#This Row],[Point of Origin]],Table2[#All],3,0)</f>
        <v>International</v>
      </c>
      <c r="F604" s="28" t="s">
        <v>38</v>
      </c>
      <c r="G604" s="21" t="s">
        <v>39</v>
      </c>
      <c r="H604" s="22">
        <v>97.5</v>
      </c>
      <c r="I604" s="22">
        <f>Table1[[#This Row],[Total Weight Imported (lbs)]]*0.453592</f>
        <v>44.22522</v>
      </c>
      <c r="J604" s="23">
        <v>298.35000000000002</v>
      </c>
      <c r="K604" s="41"/>
    </row>
    <row r="605" spans="1:32" ht="15.75" customHeight="1">
      <c r="A605" s="28" t="s">
        <v>188</v>
      </c>
      <c r="B605" s="28" t="s">
        <v>28</v>
      </c>
      <c r="C605" s="28" t="s">
        <v>14</v>
      </c>
      <c r="D605" s="28" t="str">
        <f>VLOOKUP(Table1[[#This Row],[Point of Origin]],Table2[#All],2,0)</f>
        <v>USA</v>
      </c>
      <c r="E605" s="28" t="str">
        <f>VLOOKUP(Table1[[#This Row],[Point of Origin]],Table2[#All],3,0)</f>
        <v>Domestic</v>
      </c>
      <c r="F605" s="36" t="s">
        <v>148</v>
      </c>
      <c r="G605" s="21" t="s">
        <v>20</v>
      </c>
      <c r="H605" s="22">
        <v>25</v>
      </c>
      <c r="I605" s="22">
        <f>Table1[[#This Row],[Total Weight Imported (lbs)]]*0.453592</f>
        <v>11.3398</v>
      </c>
      <c r="J605" s="23">
        <v>200</v>
      </c>
      <c r="K605" s="1"/>
    </row>
    <row r="606" spans="1:32" ht="15.75" customHeight="1">
      <c r="A606" s="28" t="s">
        <v>188</v>
      </c>
      <c r="B606" s="28" t="s">
        <v>28</v>
      </c>
      <c r="C606" s="28" t="s">
        <v>14</v>
      </c>
      <c r="D606" s="28" t="str">
        <f>VLOOKUP(Table1[[#This Row],[Point of Origin]],Table2[#All],2,0)</f>
        <v>USA</v>
      </c>
      <c r="E606" s="28" t="str">
        <f>VLOOKUP(Table1[[#This Row],[Point of Origin]],Table2[#All],3,0)</f>
        <v>Domestic</v>
      </c>
      <c r="F606" s="36" t="s">
        <v>148</v>
      </c>
      <c r="G606" s="21" t="s">
        <v>20</v>
      </c>
      <c r="H606" s="22">
        <v>30</v>
      </c>
      <c r="I606" s="22">
        <f>Table1[[#This Row],[Total Weight Imported (lbs)]]*0.453592</f>
        <v>13.607759999999999</v>
      </c>
      <c r="J606" s="23">
        <v>175</v>
      </c>
      <c r="K606" s="1"/>
    </row>
    <row r="607" spans="1:32" ht="15.75" customHeight="1">
      <c r="A607" s="28" t="s">
        <v>188</v>
      </c>
      <c r="B607" s="28" t="s">
        <v>28</v>
      </c>
      <c r="C607" s="28" t="s">
        <v>14</v>
      </c>
      <c r="D607" s="28" t="str">
        <f>VLOOKUP(Table1[[#This Row],[Point of Origin]],Table2[#All],2,0)</f>
        <v>USA</v>
      </c>
      <c r="E607" s="28" t="str">
        <f>VLOOKUP(Table1[[#This Row],[Point of Origin]],Table2[#All],3,0)</f>
        <v>Domestic</v>
      </c>
      <c r="F607" s="36" t="s">
        <v>148</v>
      </c>
      <c r="G607" s="21" t="s">
        <v>20</v>
      </c>
      <c r="H607" s="22">
        <v>30</v>
      </c>
      <c r="I607" s="22">
        <f>Table1[[#This Row],[Total Weight Imported (lbs)]]*0.453592</f>
        <v>13.607759999999999</v>
      </c>
      <c r="J607" s="23">
        <v>56</v>
      </c>
      <c r="K607" s="1"/>
    </row>
    <row r="608" spans="1:32" ht="15.75" customHeight="1">
      <c r="A608" s="28" t="s">
        <v>188</v>
      </c>
      <c r="B608" s="28" t="s">
        <v>28</v>
      </c>
      <c r="C608" s="28" t="s">
        <v>14</v>
      </c>
      <c r="D608" s="28" t="str">
        <f>VLOOKUP(Table1[[#This Row],[Point of Origin]],Table2[#All],2,0)</f>
        <v>USA</v>
      </c>
      <c r="E608" s="28" t="str">
        <f>VLOOKUP(Table1[[#This Row],[Point of Origin]],Table2[#All],3,0)</f>
        <v>Domestic</v>
      </c>
      <c r="F608" s="36" t="s">
        <v>148</v>
      </c>
      <c r="G608" s="21" t="s">
        <v>20</v>
      </c>
      <c r="H608" s="22">
        <v>20</v>
      </c>
      <c r="I608" s="22">
        <f>Table1[[#This Row],[Total Weight Imported (lbs)]]*0.453592</f>
        <v>9.0718399999999999</v>
      </c>
      <c r="J608" s="23">
        <v>192</v>
      </c>
      <c r="K608" s="1"/>
    </row>
    <row r="609" spans="1:32" ht="15.75" customHeight="1">
      <c r="A609" s="28" t="s">
        <v>188</v>
      </c>
      <c r="B609" s="28" t="s">
        <v>28</v>
      </c>
      <c r="C609" s="28" t="s">
        <v>14</v>
      </c>
      <c r="D609" s="28" t="str">
        <f>VLOOKUP(Table1[[#This Row],[Point of Origin]],Table2[#All],2,0)</f>
        <v>USA</v>
      </c>
      <c r="E609" s="28" t="str">
        <f>VLOOKUP(Table1[[#This Row],[Point of Origin]],Table2[#All],3,0)</f>
        <v>Domestic</v>
      </c>
      <c r="F609" s="36" t="s">
        <v>148</v>
      </c>
      <c r="G609" s="21" t="s">
        <v>20</v>
      </c>
      <c r="H609" s="22">
        <v>30</v>
      </c>
      <c r="I609" s="22">
        <f>Table1[[#This Row],[Total Weight Imported (lbs)]]*0.453592</f>
        <v>13.607759999999999</v>
      </c>
      <c r="J609" s="23">
        <v>1100</v>
      </c>
      <c r="K609" s="1"/>
    </row>
    <row r="610" spans="1:32" ht="15.75" customHeight="1">
      <c r="A610" s="28" t="s">
        <v>188</v>
      </c>
      <c r="B610" s="28" t="s">
        <v>28</v>
      </c>
      <c r="C610" s="28" t="s">
        <v>14</v>
      </c>
      <c r="D610" s="28" t="str">
        <f>VLOOKUP(Table1[[#This Row],[Point of Origin]],Table2[#All],2,0)</f>
        <v>USA</v>
      </c>
      <c r="E610" s="28" t="str">
        <f>VLOOKUP(Table1[[#This Row],[Point of Origin]],Table2[#All],3,0)</f>
        <v>Domestic</v>
      </c>
      <c r="F610" s="36" t="s">
        <v>189</v>
      </c>
      <c r="G610" s="21" t="s">
        <v>64</v>
      </c>
      <c r="H610" s="22">
        <v>35</v>
      </c>
      <c r="I610" s="22">
        <f>Table1[[#This Row],[Total Weight Imported (lbs)]]*0.453592</f>
        <v>15.875719999999999</v>
      </c>
      <c r="J610" s="23">
        <v>72</v>
      </c>
      <c r="K610" s="41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</row>
    <row r="611" spans="1:32" ht="15.75" customHeight="1">
      <c r="A611" s="28" t="s">
        <v>188</v>
      </c>
      <c r="B611" s="28" t="s">
        <v>28</v>
      </c>
      <c r="C611" s="28" t="s">
        <v>14</v>
      </c>
      <c r="D611" s="28" t="str">
        <f>VLOOKUP(Table1[[#This Row],[Point of Origin]],Table2[#All],2,0)</f>
        <v>USA</v>
      </c>
      <c r="E611" s="28" t="str">
        <f>VLOOKUP(Table1[[#This Row],[Point of Origin]],Table2[#All],3,0)</f>
        <v>Domestic</v>
      </c>
      <c r="F611" s="28" t="s">
        <v>56</v>
      </c>
      <c r="G611" s="21" t="s">
        <v>57</v>
      </c>
      <c r="H611" s="22">
        <v>30</v>
      </c>
      <c r="I611" s="22">
        <f>Table1[[#This Row],[Total Weight Imported (lbs)]]*0.453592</f>
        <v>13.607759999999999</v>
      </c>
      <c r="J611" s="23">
        <v>160</v>
      </c>
      <c r="K611" s="41"/>
    </row>
    <row r="612" spans="1:32" ht="15.75" customHeight="1">
      <c r="A612" s="28" t="s">
        <v>188</v>
      </c>
      <c r="B612" s="28" t="s">
        <v>28</v>
      </c>
      <c r="C612" s="28" t="s">
        <v>14</v>
      </c>
      <c r="D612" s="28" t="str">
        <f>VLOOKUP(Table1[[#This Row],[Point of Origin]],Table2[#All],2,0)</f>
        <v>USA</v>
      </c>
      <c r="E612" s="28" t="str">
        <f>VLOOKUP(Table1[[#This Row],[Point of Origin]],Table2[#All],3,0)</f>
        <v>Domestic</v>
      </c>
      <c r="F612" s="36" t="s">
        <v>189</v>
      </c>
      <c r="G612" s="21" t="s">
        <v>64</v>
      </c>
      <c r="H612" s="22">
        <v>30</v>
      </c>
      <c r="I612" s="22">
        <f>Table1[[#This Row],[Total Weight Imported (lbs)]]*0.453592</f>
        <v>13.607759999999999</v>
      </c>
      <c r="J612" s="23">
        <v>189</v>
      </c>
      <c r="K612" s="41"/>
    </row>
    <row r="613" spans="1:32" ht="15.75" customHeight="1">
      <c r="A613" s="28" t="s">
        <v>188</v>
      </c>
      <c r="B613" s="28" t="s">
        <v>28</v>
      </c>
      <c r="C613" s="28" t="s">
        <v>14</v>
      </c>
      <c r="D613" s="28" t="str">
        <f>VLOOKUP(Table1[[#This Row],[Point of Origin]],Table2[#All],2,0)</f>
        <v>USA</v>
      </c>
      <c r="E613" s="28" t="str">
        <f>VLOOKUP(Table1[[#This Row],[Point of Origin]],Table2[#All],3,0)</f>
        <v>Domestic</v>
      </c>
      <c r="F613" s="28" t="s">
        <v>19</v>
      </c>
      <c r="G613" s="21" t="s">
        <v>20</v>
      </c>
      <c r="H613" s="22">
        <v>232</v>
      </c>
      <c r="I613" s="22">
        <f>Table1[[#This Row],[Total Weight Imported (lbs)]]*0.453592</f>
        <v>105.233344</v>
      </c>
      <c r="J613" s="23">
        <v>420</v>
      </c>
      <c r="K613" s="41"/>
    </row>
    <row r="614" spans="1:32" ht="15.75" customHeight="1">
      <c r="A614" s="28" t="s">
        <v>188</v>
      </c>
      <c r="B614" s="28" t="s">
        <v>28</v>
      </c>
      <c r="C614" s="28" t="s">
        <v>14</v>
      </c>
      <c r="D614" s="28" t="str">
        <f>VLOOKUP(Table1[[#This Row],[Point of Origin]],Table2[#All],2,0)</f>
        <v>USA</v>
      </c>
      <c r="E614" s="28" t="str">
        <f>VLOOKUP(Table1[[#This Row],[Point of Origin]],Table2[#All],3,0)</f>
        <v>Domestic</v>
      </c>
      <c r="F614" s="36" t="s">
        <v>163</v>
      </c>
      <c r="G614" s="21" t="s">
        <v>164</v>
      </c>
      <c r="H614" s="22">
        <v>30</v>
      </c>
      <c r="I614" s="22">
        <f>Table1[[#This Row],[Total Weight Imported (lbs)]]*0.453592</f>
        <v>13.607759999999999</v>
      </c>
      <c r="J614" s="23">
        <v>640</v>
      </c>
      <c r="K614" s="41"/>
    </row>
    <row r="615" spans="1:32" ht="15.75" customHeight="1">
      <c r="A615" s="28" t="s">
        <v>188</v>
      </c>
      <c r="B615" s="28" t="s">
        <v>28</v>
      </c>
      <c r="C615" s="28" t="s">
        <v>14</v>
      </c>
      <c r="D615" s="28" t="str">
        <f>VLOOKUP(Table1[[#This Row],[Point of Origin]],Table2[#All],2,0)</f>
        <v>USA</v>
      </c>
      <c r="E615" s="28" t="str">
        <f>VLOOKUP(Table1[[#This Row],[Point of Origin]],Table2[#All],3,0)</f>
        <v>Domestic</v>
      </c>
      <c r="F615" s="28" t="s">
        <v>17</v>
      </c>
      <c r="G615" s="21" t="s">
        <v>18</v>
      </c>
      <c r="H615" s="22">
        <v>30</v>
      </c>
      <c r="I615" s="22">
        <f>Table1[[#This Row],[Total Weight Imported (lbs)]]*0.453592</f>
        <v>13.607759999999999</v>
      </c>
      <c r="J615" s="23">
        <v>66</v>
      </c>
      <c r="K615" s="41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</row>
    <row r="616" spans="1:32" ht="15.75" customHeight="1">
      <c r="A616" s="28" t="s">
        <v>188</v>
      </c>
      <c r="B616" s="28" t="s">
        <v>28</v>
      </c>
      <c r="C616" s="28" t="s">
        <v>14</v>
      </c>
      <c r="D616" s="28" t="str">
        <f>VLOOKUP(Table1[[#This Row],[Point of Origin]],Table2[#All],2,0)</f>
        <v>USA</v>
      </c>
      <c r="E616" s="28" t="str">
        <f>VLOOKUP(Table1[[#This Row],[Point of Origin]],Table2[#All],3,0)</f>
        <v>Domestic</v>
      </c>
      <c r="F616" s="28" t="s">
        <v>58</v>
      </c>
      <c r="G616" s="21" t="s">
        <v>34</v>
      </c>
      <c r="H616" s="22">
        <v>15</v>
      </c>
      <c r="I616" s="22">
        <f>Table1[[#This Row],[Total Weight Imported (lbs)]]*0.453592</f>
        <v>6.8038799999999995</v>
      </c>
      <c r="J616" s="23">
        <v>225</v>
      </c>
      <c r="K616" s="1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</row>
    <row r="617" spans="1:32" ht="15.75" customHeight="1">
      <c r="A617" s="28" t="s">
        <v>188</v>
      </c>
      <c r="B617" s="28" t="s">
        <v>28</v>
      </c>
      <c r="C617" s="28" t="s">
        <v>14</v>
      </c>
      <c r="D617" s="28" t="str">
        <f>VLOOKUP(Table1[[#This Row],[Point of Origin]],Table2[#All],2,0)</f>
        <v>USA</v>
      </c>
      <c r="E617" s="28" t="str">
        <f>VLOOKUP(Table1[[#This Row],[Point of Origin]],Table2[#All],3,0)</f>
        <v>Domestic</v>
      </c>
      <c r="F617" s="28" t="s">
        <v>54</v>
      </c>
      <c r="G617" s="21" t="s">
        <v>30</v>
      </c>
      <c r="H617" s="22">
        <v>8</v>
      </c>
      <c r="I617" s="22">
        <f>Table1[[#This Row],[Total Weight Imported (lbs)]]*0.453592</f>
        <v>3.628736</v>
      </c>
      <c r="J617" s="23">
        <v>104</v>
      </c>
      <c r="K617" s="41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</row>
    <row r="618" spans="1:32" ht="15.75" customHeight="1">
      <c r="A618" s="28" t="s">
        <v>188</v>
      </c>
      <c r="B618" s="28" t="s">
        <v>28</v>
      </c>
      <c r="C618" s="28" t="s">
        <v>14</v>
      </c>
      <c r="D618" s="28" t="str">
        <f>VLOOKUP(Table1[[#This Row],[Point of Origin]],Table2[#All],2,0)</f>
        <v>USA</v>
      </c>
      <c r="E618" s="28" t="str">
        <f>VLOOKUP(Table1[[#This Row],[Point of Origin]],Table2[#All],3,0)</f>
        <v>Domestic</v>
      </c>
      <c r="F618" s="28" t="s">
        <v>190</v>
      </c>
      <c r="G618" s="21" t="s">
        <v>32</v>
      </c>
      <c r="H618" s="22">
        <v>35</v>
      </c>
      <c r="I618" s="22">
        <f>Table1[[#This Row],[Total Weight Imported (lbs)]]*0.453592</f>
        <v>15.875719999999999</v>
      </c>
      <c r="J618" s="23">
        <v>24.5</v>
      </c>
      <c r="K618" s="41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</row>
    <row r="619" spans="1:32" ht="15.75" customHeight="1">
      <c r="A619" s="28" t="s">
        <v>188</v>
      </c>
      <c r="B619" s="28" t="s">
        <v>28</v>
      </c>
      <c r="C619" s="28" t="s">
        <v>14</v>
      </c>
      <c r="D619" s="28" t="str">
        <f>VLOOKUP(Table1[[#This Row],[Point of Origin]],Table2[#All],2,0)</f>
        <v>USA</v>
      </c>
      <c r="E619" s="28" t="str">
        <f>VLOOKUP(Table1[[#This Row],[Point of Origin]],Table2[#All],3,0)</f>
        <v>Domestic</v>
      </c>
      <c r="F619" s="36" t="s">
        <v>137</v>
      </c>
      <c r="G619" s="21" t="s">
        <v>138</v>
      </c>
      <c r="H619" s="22">
        <v>40</v>
      </c>
      <c r="I619" s="22">
        <f>Table1[[#This Row],[Total Weight Imported (lbs)]]*0.453592</f>
        <v>18.14368</v>
      </c>
      <c r="J619" s="23">
        <v>26</v>
      </c>
      <c r="K619" s="1"/>
    </row>
    <row r="620" spans="1:32" ht="15.75" customHeight="1">
      <c r="A620" s="28" t="s">
        <v>188</v>
      </c>
      <c r="B620" s="28" t="s">
        <v>28</v>
      </c>
      <c r="C620" s="28" t="s">
        <v>14</v>
      </c>
      <c r="D620" s="28" t="str">
        <f>VLOOKUP(Table1[[#This Row],[Point of Origin]],Table2[#All],2,0)</f>
        <v>USA</v>
      </c>
      <c r="E620" s="28" t="str">
        <f>VLOOKUP(Table1[[#This Row],[Point of Origin]],Table2[#All],3,0)</f>
        <v>Domestic</v>
      </c>
      <c r="F620" s="28" t="s">
        <v>58</v>
      </c>
      <c r="G620" s="21" t="s">
        <v>34</v>
      </c>
      <c r="H620" s="22">
        <v>25</v>
      </c>
      <c r="I620" s="22">
        <f>Table1[[#This Row],[Total Weight Imported (lbs)]]*0.453592</f>
        <v>11.3398</v>
      </c>
      <c r="J620" s="23">
        <v>55</v>
      </c>
      <c r="K620" s="1"/>
    </row>
    <row r="621" spans="1:32" ht="15.75" customHeight="1">
      <c r="A621" s="28" t="s">
        <v>188</v>
      </c>
      <c r="B621" s="28" t="s">
        <v>28</v>
      </c>
      <c r="C621" s="28" t="s">
        <v>14</v>
      </c>
      <c r="D621" s="28" t="str">
        <f>VLOOKUP(Table1[[#This Row],[Point of Origin]],Table2[#All],2,0)</f>
        <v>USA</v>
      </c>
      <c r="E621" s="28" t="str">
        <f>VLOOKUP(Table1[[#This Row],[Point of Origin]],Table2[#All],3,0)</f>
        <v>Domestic</v>
      </c>
      <c r="F621" s="36" t="s">
        <v>191</v>
      </c>
      <c r="G621" s="21" t="s">
        <v>192</v>
      </c>
      <c r="H621" s="22">
        <v>50</v>
      </c>
      <c r="I621" s="22">
        <f>Table1[[#This Row],[Total Weight Imported (lbs)]]*0.453592</f>
        <v>22.679600000000001</v>
      </c>
      <c r="J621" s="23">
        <v>416</v>
      </c>
      <c r="K621" s="1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</row>
    <row r="622" spans="1:32" ht="15.75" customHeight="1">
      <c r="A622" s="28" t="s">
        <v>188</v>
      </c>
      <c r="B622" s="28" t="s">
        <v>28</v>
      </c>
      <c r="C622" s="28" t="s">
        <v>14</v>
      </c>
      <c r="D622" s="28" t="str">
        <f>VLOOKUP(Table1[[#This Row],[Point of Origin]],Table2[#All],2,0)</f>
        <v>USA</v>
      </c>
      <c r="E622" s="28" t="str">
        <f>VLOOKUP(Table1[[#This Row],[Point of Origin]],Table2[#All],3,0)</f>
        <v>Domestic</v>
      </c>
      <c r="F622" s="28" t="s">
        <v>76</v>
      </c>
      <c r="G622" s="21" t="s">
        <v>77</v>
      </c>
      <c r="H622" s="22">
        <v>75</v>
      </c>
      <c r="I622" s="22">
        <f>Table1[[#This Row],[Total Weight Imported (lbs)]]*0.453592</f>
        <v>34.019399999999997</v>
      </c>
      <c r="J622" s="23">
        <v>115.5</v>
      </c>
      <c r="K622" s="1"/>
    </row>
    <row r="623" spans="1:32" ht="15.75" customHeight="1">
      <c r="A623" s="28" t="s">
        <v>188</v>
      </c>
      <c r="B623" s="28" t="s">
        <v>28</v>
      </c>
      <c r="C623" s="28" t="s">
        <v>14</v>
      </c>
      <c r="D623" s="28" t="str">
        <f>VLOOKUP(Table1[[#This Row],[Point of Origin]],Table2[#All],2,0)</f>
        <v>USA</v>
      </c>
      <c r="E623" s="28" t="str">
        <f>VLOOKUP(Table1[[#This Row],[Point of Origin]],Table2[#All],3,0)</f>
        <v>Domestic</v>
      </c>
      <c r="F623" s="36" t="s">
        <v>148</v>
      </c>
      <c r="G623" s="21" t="s">
        <v>20</v>
      </c>
      <c r="H623" s="22">
        <v>30</v>
      </c>
      <c r="I623" s="22">
        <f>Table1[[#This Row],[Total Weight Imported (lbs)]]*0.453592</f>
        <v>13.607759999999999</v>
      </c>
      <c r="J623" s="23">
        <v>1300</v>
      </c>
      <c r="K623" s="1"/>
    </row>
    <row r="624" spans="1:32" ht="15.75" customHeight="1">
      <c r="A624" s="28" t="s">
        <v>188</v>
      </c>
      <c r="B624" s="28" t="s">
        <v>28</v>
      </c>
      <c r="C624" s="28" t="s">
        <v>14</v>
      </c>
      <c r="D624" s="28" t="str">
        <f>VLOOKUP(Table1[[#This Row],[Point of Origin]],Table2[#All],2,0)</f>
        <v>USA</v>
      </c>
      <c r="E624" s="28" t="str">
        <f>VLOOKUP(Table1[[#This Row],[Point of Origin]],Table2[#All],3,0)</f>
        <v>Domestic</v>
      </c>
      <c r="F624" s="36" t="s">
        <v>148</v>
      </c>
      <c r="G624" s="21" t="s">
        <v>20</v>
      </c>
      <c r="H624" s="22">
        <v>20</v>
      </c>
      <c r="I624" s="22">
        <f>Table1[[#This Row],[Total Weight Imported (lbs)]]*0.453592</f>
        <v>9.0718399999999999</v>
      </c>
      <c r="J624" s="23">
        <v>250</v>
      </c>
      <c r="K624" s="1"/>
    </row>
    <row r="625" spans="1:32" ht="15.75" customHeight="1">
      <c r="A625" s="28" t="s">
        <v>188</v>
      </c>
      <c r="B625" s="28" t="s">
        <v>28</v>
      </c>
      <c r="C625" s="28" t="s">
        <v>14</v>
      </c>
      <c r="D625" s="28" t="str">
        <f>VLOOKUP(Table1[[#This Row],[Point of Origin]],Table2[#All],2,0)</f>
        <v>USA</v>
      </c>
      <c r="E625" s="28" t="str">
        <f>VLOOKUP(Table1[[#This Row],[Point of Origin]],Table2[#All],3,0)</f>
        <v>Domestic</v>
      </c>
      <c r="F625" s="28" t="s">
        <v>193</v>
      </c>
      <c r="G625" s="21" t="s">
        <v>20</v>
      </c>
      <c r="H625" s="22">
        <v>30</v>
      </c>
      <c r="I625" s="22">
        <f>Table1[[#This Row],[Total Weight Imported (lbs)]]*0.453592</f>
        <v>13.607759999999999</v>
      </c>
      <c r="J625" s="23">
        <v>100</v>
      </c>
      <c r="K625" s="1"/>
    </row>
    <row r="626" spans="1:32" ht="15.75" customHeight="1">
      <c r="A626" s="28" t="s">
        <v>188</v>
      </c>
      <c r="B626" s="28" t="s">
        <v>28</v>
      </c>
      <c r="C626" s="28" t="s">
        <v>14</v>
      </c>
      <c r="D626" s="28" t="str">
        <f>VLOOKUP(Table1[[#This Row],[Point of Origin]],Table2[#All],2,0)</f>
        <v>USA</v>
      </c>
      <c r="E626" s="28" t="str">
        <f>VLOOKUP(Table1[[#This Row],[Point of Origin]],Table2[#All],3,0)</f>
        <v>Domestic</v>
      </c>
      <c r="F626" s="36" t="s">
        <v>148</v>
      </c>
      <c r="G626" s="21" t="s">
        <v>20</v>
      </c>
      <c r="H626" s="22">
        <v>30</v>
      </c>
      <c r="I626" s="22">
        <f>Table1[[#This Row],[Total Weight Imported (lbs)]]*0.453592</f>
        <v>13.607759999999999</v>
      </c>
      <c r="J626" s="23">
        <v>75</v>
      </c>
      <c r="K626" s="1"/>
    </row>
    <row r="627" spans="1:32" ht="15.75" customHeight="1">
      <c r="A627" s="28" t="s">
        <v>188</v>
      </c>
      <c r="B627" s="28" t="s">
        <v>28</v>
      </c>
      <c r="C627" s="28" t="s">
        <v>14</v>
      </c>
      <c r="D627" s="28" t="str">
        <f>VLOOKUP(Table1[[#This Row],[Point of Origin]],Table2[#All],2,0)</f>
        <v>USA</v>
      </c>
      <c r="E627" s="28" t="str">
        <f>VLOOKUP(Table1[[#This Row],[Point of Origin]],Table2[#All],3,0)</f>
        <v>Domestic</v>
      </c>
      <c r="F627" s="28" t="s">
        <v>19</v>
      </c>
      <c r="G627" s="21" t="s">
        <v>20</v>
      </c>
      <c r="H627" s="22">
        <v>25</v>
      </c>
      <c r="I627" s="22">
        <f>Table1[[#This Row],[Total Weight Imported (lbs)]]*0.453592</f>
        <v>11.3398</v>
      </c>
      <c r="J627" s="23">
        <v>78</v>
      </c>
      <c r="K627" s="41"/>
    </row>
    <row r="628" spans="1:32" ht="15.75" customHeight="1">
      <c r="A628" s="28" t="s">
        <v>188</v>
      </c>
      <c r="B628" s="28" t="s">
        <v>28</v>
      </c>
      <c r="C628" s="28" t="s">
        <v>14</v>
      </c>
      <c r="D628" s="28" t="str">
        <f>VLOOKUP(Table1[[#This Row],[Point of Origin]],Table2[#All],2,0)</f>
        <v>USA</v>
      </c>
      <c r="E628" s="28" t="str">
        <f>VLOOKUP(Table1[[#This Row],[Point of Origin]],Table2[#All],3,0)</f>
        <v>Domestic</v>
      </c>
      <c r="F628" s="28" t="s">
        <v>50</v>
      </c>
      <c r="G628" s="21" t="s">
        <v>51</v>
      </c>
      <c r="H628" s="22">
        <v>20</v>
      </c>
      <c r="I628" s="22">
        <f>Table1[[#This Row],[Total Weight Imported (lbs)]]*0.453592</f>
        <v>9.0718399999999999</v>
      </c>
      <c r="J628" s="23">
        <v>700</v>
      </c>
      <c r="K628" s="41"/>
    </row>
    <row r="629" spans="1:32" ht="15.75" customHeight="1">
      <c r="A629" s="28" t="s">
        <v>188</v>
      </c>
      <c r="B629" s="28" t="s">
        <v>28</v>
      </c>
      <c r="C629" s="28" t="s">
        <v>14</v>
      </c>
      <c r="D629" s="28" t="str">
        <f>VLOOKUP(Table1[[#This Row],[Point of Origin]],Table2[#All],2,0)</f>
        <v>USA</v>
      </c>
      <c r="E629" s="28" t="str">
        <f>VLOOKUP(Table1[[#This Row],[Point of Origin]],Table2[#All],3,0)</f>
        <v>Domestic</v>
      </c>
      <c r="F629" s="36" t="s">
        <v>184</v>
      </c>
      <c r="G629" s="21" t="s">
        <v>185</v>
      </c>
      <c r="H629" s="22">
        <f>38+40</f>
        <v>78</v>
      </c>
      <c r="I629" s="22">
        <f>Table1[[#This Row],[Total Weight Imported (lbs)]]*0.453592</f>
        <v>35.380175999999999</v>
      </c>
      <c r="J629" s="23">
        <v>196</v>
      </c>
      <c r="K629" s="1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</row>
    <row r="630" spans="1:32" ht="15.75" customHeight="1">
      <c r="A630" s="28" t="s">
        <v>188</v>
      </c>
      <c r="B630" s="28" t="s">
        <v>28</v>
      </c>
      <c r="C630" s="28" t="s">
        <v>14</v>
      </c>
      <c r="D630" s="28" t="str">
        <f>VLOOKUP(Table1[[#This Row],[Point of Origin]],Table2[#All],2,0)</f>
        <v>USA</v>
      </c>
      <c r="E630" s="28" t="str">
        <f>VLOOKUP(Table1[[#This Row],[Point of Origin]],Table2[#All],3,0)</f>
        <v>Domestic</v>
      </c>
      <c r="F630" s="36" t="s">
        <v>184</v>
      </c>
      <c r="G630" s="21" t="s">
        <v>185</v>
      </c>
      <c r="H630" s="22">
        <v>30</v>
      </c>
      <c r="I630" s="22">
        <f>Table1[[#This Row],[Total Weight Imported (lbs)]]*0.453592</f>
        <v>13.607759999999999</v>
      </c>
      <c r="J630" s="23">
        <v>172</v>
      </c>
      <c r="K630" s="1"/>
    </row>
    <row r="631" spans="1:32" ht="15.75" customHeight="1">
      <c r="A631" s="28" t="s">
        <v>188</v>
      </c>
      <c r="B631" s="28" t="s">
        <v>28</v>
      </c>
      <c r="C631" s="28" t="s">
        <v>14</v>
      </c>
      <c r="D631" s="28" t="str">
        <f>VLOOKUP(Table1[[#This Row],[Point of Origin]],Table2[#All],2,0)</f>
        <v>USA</v>
      </c>
      <c r="E631" s="28" t="str">
        <f>VLOOKUP(Table1[[#This Row],[Point of Origin]],Table2[#All],3,0)</f>
        <v>Domestic</v>
      </c>
      <c r="F631" s="28" t="s">
        <v>194</v>
      </c>
      <c r="G631" s="21" t="s">
        <v>195</v>
      </c>
      <c r="H631" s="22">
        <v>20</v>
      </c>
      <c r="I631" s="22">
        <f>Table1[[#This Row],[Total Weight Imported (lbs)]]*0.453592</f>
        <v>9.0718399999999999</v>
      </c>
      <c r="J631" s="23">
        <v>125</v>
      </c>
      <c r="K631" s="1"/>
    </row>
    <row r="632" spans="1:32" ht="15.75" customHeight="1">
      <c r="A632" s="28" t="s">
        <v>188</v>
      </c>
      <c r="B632" s="28" t="s">
        <v>28</v>
      </c>
      <c r="C632" s="28" t="s">
        <v>14</v>
      </c>
      <c r="D632" s="28" t="str">
        <f>VLOOKUP(Table1[[#This Row],[Point of Origin]],Table2[#All],2,0)</f>
        <v>USA</v>
      </c>
      <c r="E632" s="28" t="str">
        <f>VLOOKUP(Table1[[#This Row],[Point of Origin]],Table2[#All],3,0)</f>
        <v>Domestic</v>
      </c>
      <c r="F632" s="36" t="s">
        <v>135</v>
      </c>
      <c r="G632" s="21" t="s">
        <v>136</v>
      </c>
      <c r="H632" s="22">
        <v>40</v>
      </c>
      <c r="I632" s="22">
        <f>Table1[[#This Row],[Total Weight Imported (lbs)]]*0.453592</f>
        <v>18.14368</v>
      </c>
      <c r="J632" s="23">
        <v>99</v>
      </c>
      <c r="K632" s="41"/>
    </row>
    <row r="633" spans="1:32" ht="15.75" customHeight="1">
      <c r="A633" s="28" t="s">
        <v>188</v>
      </c>
      <c r="B633" s="28" t="s">
        <v>28</v>
      </c>
      <c r="C633" s="28" t="s">
        <v>14</v>
      </c>
      <c r="D633" s="28" t="str">
        <f>VLOOKUP(Table1[[#This Row],[Point of Origin]],Table2[#All],2,0)</f>
        <v>USA</v>
      </c>
      <c r="E633" s="28" t="str">
        <f>VLOOKUP(Table1[[#This Row],[Point of Origin]],Table2[#All],3,0)</f>
        <v>Domestic</v>
      </c>
      <c r="F633" s="36" t="s">
        <v>148</v>
      </c>
      <c r="G633" s="21" t="s">
        <v>20</v>
      </c>
      <c r="H633" s="22">
        <v>30</v>
      </c>
      <c r="I633" s="22">
        <f>Table1[[#This Row],[Total Weight Imported (lbs)]]*0.453592</f>
        <v>13.607759999999999</v>
      </c>
      <c r="J633" s="23">
        <v>96</v>
      </c>
      <c r="K633" s="1"/>
    </row>
    <row r="634" spans="1:32" ht="15.75" customHeight="1">
      <c r="A634" s="28" t="s">
        <v>188</v>
      </c>
      <c r="B634" s="28" t="s">
        <v>28</v>
      </c>
      <c r="C634" s="28" t="s">
        <v>14</v>
      </c>
      <c r="D634" s="28" t="str">
        <f>VLOOKUP(Table1[[#This Row],[Point of Origin]],Table2[#All],2,0)</f>
        <v>USA</v>
      </c>
      <c r="E634" s="28" t="str">
        <f>VLOOKUP(Table1[[#This Row],[Point of Origin]],Table2[#All],3,0)</f>
        <v>Domestic</v>
      </c>
      <c r="F634" s="36" t="s">
        <v>148</v>
      </c>
      <c r="G634" s="21" t="s">
        <v>20</v>
      </c>
      <c r="H634" s="22">
        <v>30</v>
      </c>
      <c r="I634" s="22">
        <f>Table1[[#This Row],[Total Weight Imported (lbs)]]*0.453592</f>
        <v>13.607759999999999</v>
      </c>
      <c r="J634" s="23">
        <v>130</v>
      </c>
      <c r="K634" s="1"/>
    </row>
    <row r="635" spans="1:32" ht="15.75" customHeight="1">
      <c r="A635" s="28" t="s">
        <v>188</v>
      </c>
      <c r="B635" s="28" t="s">
        <v>28</v>
      </c>
      <c r="C635" s="28" t="s">
        <v>14</v>
      </c>
      <c r="D635" s="28" t="str">
        <f>VLOOKUP(Table1[[#This Row],[Point of Origin]],Table2[#All],2,0)</f>
        <v>USA</v>
      </c>
      <c r="E635" s="28" t="str">
        <f>VLOOKUP(Table1[[#This Row],[Point of Origin]],Table2[#All],3,0)</f>
        <v>Domestic</v>
      </c>
      <c r="F635" s="36" t="s">
        <v>148</v>
      </c>
      <c r="G635" s="21" t="s">
        <v>20</v>
      </c>
      <c r="H635" s="22">
        <v>20</v>
      </c>
      <c r="I635" s="22">
        <f>Table1[[#This Row],[Total Weight Imported (lbs)]]*0.453592</f>
        <v>9.0718399999999999</v>
      </c>
      <c r="J635" s="23">
        <v>231</v>
      </c>
      <c r="K635" s="1"/>
    </row>
    <row r="636" spans="1:32" ht="15.75" customHeight="1">
      <c r="A636" s="28" t="s">
        <v>188</v>
      </c>
      <c r="B636" s="28" t="s">
        <v>28</v>
      </c>
      <c r="C636" s="28" t="s">
        <v>14</v>
      </c>
      <c r="D636" s="28" t="str">
        <f>VLOOKUP(Table1[[#This Row],[Point of Origin]],Table2[#All],2,0)</f>
        <v>USA</v>
      </c>
      <c r="E636" s="28" t="str">
        <f>VLOOKUP(Table1[[#This Row],[Point of Origin]],Table2[#All],3,0)</f>
        <v>Domestic</v>
      </c>
      <c r="F636" s="28" t="s">
        <v>196</v>
      </c>
      <c r="G636" s="21" t="s">
        <v>32</v>
      </c>
      <c r="H636" s="22">
        <v>40</v>
      </c>
      <c r="I636" s="22">
        <f>Table1[[#This Row],[Total Weight Imported (lbs)]]*0.453592</f>
        <v>18.14368</v>
      </c>
      <c r="J636" s="23">
        <v>23</v>
      </c>
      <c r="K636" s="41"/>
    </row>
    <row r="637" spans="1:32" ht="15.75" customHeight="1">
      <c r="A637" s="27" t="s">
        <v>197</v>
      </c>
      <c r="B637" s="27" t="s">
        <v>198</v>
      </c>
      <c r="C637" s="27" t="s">
        <v>14</v>
      </c>
      <c r="D637" s="20" t="str">
        <f>VLOOKUP(Table1[[#This Row],[Point of Origin]],Table2[#All],2,0)</f>
        <v>USA</v>
      </c>
      <c r="E637" s="20" t="str">
        <f>VLOOKUP(Table1[[#This Row],[Point of Origin]],Table2[#All],3,0)</f>
        <v>Domestic</v>
      </c>
      <c r="F637" s="27" t="s">
        <v>151</v>
      </c>
      <c r="G637" s="21" t="s">
        <v>152</v>
      </c>
      <c r="H637" s="22">
        <v>40</v>
      </c>
      <c r="I637" s="22">
        <f>Table1[[#This Row],[Total Weight Imported (lbs)]]*0.453592</f>
        <v>18.14368</v>
      </c>
      <c r="J637" s="23">
        <v>15868.8</v>
      </c>
      <c r="K637" s="41"/>
    </row>
    <row r="638" spans="1:32" ht="15.75" customHeight="1">
      <c r="A638" s="28" t="s">
        <v>199</v>
      </c>
      <c r="B638" s="28" t="s">
        <v>200</v>
      </c>
      <c r="C638" s="28" t="s">
        <v>200</v>
      </c>
      <c r="D638" s="28" t="str">
        <f>VLOOKUP(Table1[[#This Row],[Point of Origin]],Table2[#All],2,0)</f>
        <v>CNMI</v>
      </c>
      <c r="E638" s="28" t="str">
        <f>VLOOKUP(Table1[[#This Row],[Point of Origin]],Table2[#All],3,0)</f>
        <v>International</v>
      </c>
      <c r="F638" s="36" t="s">
        <v>151</v>
      </c>
      <c r="G638" s="21" t="s">
        <v>152</v>
      </c>
      <c r="H638" s="22">
        <v>1060</v>
      </c>
      <c r="I638" s="22">
        <f>Table1[[#This Row],[Total Weight Imported (lbs)]]*0.453592</f>
        <v>480.80752000000001</v>
      </c>
      <c r="J638" s="23">
        <v>1325</v>
      </c>
      <c r="K638" s="41"/>
    </row>
    <row r="639" spans="1:32" ht="15.75" customHeight="1">
      <c r="A639" s="28" t="s">
        <v>199</v>
      </c>
      <c r="B639" s="28" t="s">
        <v>200</v>
      </c>
      <c r="C639" s="28" t="s">
        <v>200</v>
      </c>
      <c r="D639" s="28" t="str">
        <f>VLOOKUP(Table1[[#This Row],[Point of Origin]],Table2[#All],2,0)</f>
        <v>CNMI</v>
      </c>
      <c r="E639" s="28" t="str">
        <f>VLOOKUP(Table1[[#This Row],[Point of Origin]],Table2[#All],3,0)</f>
        <v>International</v>
      </c>
      <c r="F639" s="36" t="s">
        <v>201</v>
      </c>
      <c r="G639" s="21" t="s">
        <v>202</v>
      </c>
      <c r="H639" s="22">
        <v>105</v>
      </c>
      <c r="I639" s="22">
        <f>Table1[[#This Row],[Total Weight Imported (lbs)]]*0.453592</f>
        <v>47.627159999999996</v>
      </c>
      <c r="J639" s="23">
        <v>73.5</v>
      </c>
      <c r="K639" s="41"/>
    </row>
    <row r="640" spans="1:32" ht="15.75" customHeight="1">
      <c r="A640" s="28" t="s">
        <v>199</v>
      </c>
      <c r="B640" s="28" t="s">
        <v>200</v>
      </c>
      <c r="C640" s="28" t="s">
        <v>200</v>
      </c>
      <c r="D640" s="28" t="str">
        <f>VLOOKUP(Table1[[#This Row],[Point of Origin]],Table2[#All],2,0)</f>
        <v>CNMI</v>
      </c>
      <c r="E640" s="28" t="str">
        <f>VLOOKUP(Table1[[#This Row],[Point of Origin]],Table2[#All],3,0)</f>
        <v>International</v>
      </c>
      <c r="F640" s="28" t="s">
        <v>203</v>
      </c>
      <c r="G640" s="21" t="s">
        <v>49</v>
      </c>
      <c r="H640" s="22">
        <v>130</v>
      </c>
      <c r="I640" s="22">
        <f>Table1[[#This Row],[Total Weight Imported (lbs)]]*0.453592</f>
        <v>58.96696</v>
      </c>
      <c r="J640" s="23">
        <v>130</v>
      </c>
      <c r="K640" s="41"/>
    </row>
    <row r="641" spans="1:11" ht="15.75" customHeight="1">
      <c r="A641" s="28" t="s">
        <v>199</v>
      </c>
      <c r="B641" s="28" t="s">
        <v>200</v>
      </c>
      <c r="C641" s="28" t="s">
        <v>200</v>
      </c>
      <c r="D641" s="28" t="str">
        <f>VLOOKUP(Table1[[#This Row],[Point of Origin]],Table2[#All],2,0)</f>
        <v>CNMI</v>
      </c>
      <c r="E641" s="28" t="str">
        <f>VLOOKUP(Table1[[#This Row],[Point of Origin]],Table2[#All],3,0)</f>
        <v>International</v>
      </c>
      <c r="F641" s="28" t="s">
        <v>159</v>
      </c>
      <c r="G641" s="21" t="s">
        <v>160</v>
      </c>
      <c r="H641" s="22">
        <v>335</v>
      </c>
      <c r="I641" s="22">
        <f>Table1[[#This Row],[Total Weight Imported (lbs)]]*0.453592</f>
        <v>151.95331999999999</v>
      </c>
      <c r="J641" s="23">
        <v>418.75</v>
      </c>
      <c r="K641" s="1"/>
    </row>
    <row r="642" spans="1:11" ht="15.75" customHeight="1">
      <c r="A642" s="28" t="s">
        <v>199</v>
      </c>
      <c r="B642" s="28" t="s">
        <v>200</v>
      </c>
      <c r="C642" s="28" t="s">
        <v>200</v>
      </c>
      <c r="D642" s="28" t="str">
        <f>VLOOKUP(Table1[[#This Row],[Point of Origin]],Table2[#All],2,0)</f>
        <v>CNMI</v>
      </c>
      <c r="E642" s="28" t="str">
        <f>VLOOKUP(Table1[[#This Row],[Point of Origin]],Table2[#All],3,0)</f>
        <v>International</v>
      </c>
      <c r="F642" s="36" t="s">
        <v>204</v>
      </c>
      <c r="G642" s="21" t="s">
        <v>32</v>
      </c>
      <c r="H642" s="22">
        <v>160</v>
      </c>
      <c r="I642" s="22">
        <f>Table1[[#This Row],[Total Weight Imported (lbs)]]*0.453592</f>
        <v>72.574719999999999</v>
      </c>
      <c r="J642" s="23">
        <v>160</v>
      </c>
      <c r="K642" s="41"/>
    </row>
    <row r="643" spans="1:11" ht="15.75" customHeight="1">
      <c r="A643" s="27" t="s">
        <v>205</v>
      </c>
      <c r="B643" s="27" t="s">
        <v>206</v>
      </c>
      <c r="C643" s="27" t="s">
        <v>206</v>
      </c>
      <c r="D643" s="20" t="str">
        <f>VLOOKUP(Table1[[#This Row],[Point of Origin]],Table2[#All],2,0)</f>
        <v>Taiwan</v>
      </c>
      <c r="E643" s="20" t="str">
        <f>VLOOKUP(Table1[[#This Row],[Point of Origin]],Table2[#All],3,0)</f>
        <v>International</v>
      </c>
      <c r="F643" s="20" t="s">
        <v>59</v>
      </c>
      <c r="G643" s="21" t="s">
        <v>60</v>
      </c>
      <c r="H643" s="22">
        <v>7</v>
      </c>
      <c r="I643" s="22">
        <f>Table1[[#This Row],[Total Weight Imported (lbs)]]*0.453592</f>
        <v>3.175144</v>
      </c>
      <c r="J643" s="23">
        <v>31.5</v>
      </c>
      <c r="K643" s="41"/>
    </row>
    <row r="644" spans="1:11" ht="15.75" customHeight="1">
      <c r="A644" s="27" t="s">
        <v>205</v>
      </c>
      <c r="B644" s="27" t="s">
        <v>206</v>
      </c>
      <c r="C644" s="27" t="s">
        <v>206</v>
      </c>
      <c r="D644" s="20" t="str">
        <f>VLOOKUP(Table1[[#This Row],[Point of Origin]],Table2[#All],2,0)</f>
        <v>Taiwan</v>
      </c>
      <c r="E644" s="20" t="str">
        <f>VLOOKUP(Table1[[#This Row],[Point of Origin]],Table2[#All],3,0)</f>
        <v>International</v>
      </c>
      <c r="F644" s="27" t="s">
        <v>56</v>
      </c>
      <c r="G644" s="21" t="s">
        <v>57</v>
      </c>
      <c r="H644" s="22">
        <v>7</v>
      </c>
      <c r="I644" s="22">
        <f>Table1[[#This Row],[Total Weight Imported (lbs)]]*0.453592</f>
        <v>3.175144</v>
      </c>
      <c r="J644" s="23">
        <v>33</v>
      </c>
      <c r="K644" s="41"/>
    </row>
    <row r="645" spans="1:11" ht="15.75" customHeight="1">
      <c r="A645" s="27" t="s">
        <v>205</v>
      </c>
      <c r="B645" s="27" t="s">
        <v>206</v>
      </c>
      <c r="C645" s="27" t="s">
        <v>206</v>
      </c>
      <c r="D645" s="20" t="str">
        <f>VLOOKUP(Table1[[#This Row],[Point of Origin]],Table2[#All],2,0)</f>
        <v>Taiwan</v>
      </c>
      <c r="E645" s="20" t="str">
        <f>VLOOKUP(Table1[[#This Row],[Point of Origin]],Table2[#All],3,0)</f>
        <v>International</v>
      </c>
      <c r="F645" s="27" t="s">
        <v>207</v>
      </c>
      <c r="G645" s="21" t="s">
        <v>208</v>
      </c>
      <c r="H645" s="22">
        <v>10</v>
      </c>
      <c r="I645" s="22">
        <f>Table1[[#This Row],[Total Weight Imported (lbs)]]*0.453592</f>
        <v>4.53592</v>
      </c>
      <c r="J645" s="23">
        <v>72</v>
      </c>
      <c r="K645" s="1"/>
    </row>
    <row r="646" spans="1:11" ht="15.75" customHeight="1">
      <c r="A646" s="27" t="s">
        <v>205</v>
      </c>
      <c r="B646" s="27" t="s">
        <v>206</v>
      </c>
      <c r="C646" s="27" t="s">
        <v>206</v>
      </c>
      <c r="D646" s="20" t="str">
        <f>VLOOKUP(Table1[[#This Row],[Point of Origin]],Table2[#All],2,0)</f>
        <v>Taiwan</v>
      </c>
      <c r="E646" s="20" t="str">
        <f>VLOOKUP(Table1[[#This Row],[Point of Origin]],Table2[#All],3,0)</f>
        <v>International</v>
      </c>
      <c r="F646" s="20" t="s">
        <v>76</v>
      </c>
      <c r="G646" s="21" t="s">
        <v>77</v>
      </c>
      <c r="H646" s="22">
        <v>75</v>
      </c>
      <c r="I646" s="22">
        <f>Table1[[#This Row],[Total Weight Imported (lbs)]]*0.453592</f>
        <v>34.019399999999997</v>
      </c>
      <c r="J646" s="23">
        <v>115.5</v>
      </c>
      <c r="K646" s="1"/>
    </row>
    <row r="647" spans="1:11" ht="15.75" customHeight="1">
      <c r="A647" s="28" t="s">
        <v>209</v>
      </c>
      <c r="B647" s="28" t="s">
        <v>200</v>
      </c>
      <c r="C647" s="28" t="s">
        <v>200</v>
      </c>
      <c r="D647" s="28" t="str">
        <f>VLOOKUP(Table1[[#This Row],[Point of Origin]],Table2[#All],2,0)</f>
        <v>CNMI</v>
      </c>
      <c r="E647" s="28" t="str">
        <f>VLOOKUP(Table1[[#This Row],[Point of Origin]],Table2[#All],3,0)</f>
        <v>International</v>
      </c>
      <c r="F647" s="28" t="s">
        <v>210</v>
      </c>
      <c r="G647" s="21" t="s">
        <v>211</v>
      </c>
      <c r="H647" s="22">
        <v>110</v>
      </c>
      <c r="I647" s="22">
        <f>Table1[[#This Row],[Total Weight Imported (lbs)]]*0.453592</f>
        <v>49.895119999999999</v>
      </c>
      <c r="J647" s="23">
        <v>220</v>
      </c>
      <c r="K647" s="41"/>
    </row>
    <row r="648" spans="1:11" ht="15.75" customHeight="1">
      <c r="A648" s="28" t="s">
        <v>209</v>
      </c>
      <c r="B648" s="28" t="s">
        <v>200</v>
      </c>
      <c r="C648" s="28" t="s">
        <v>200</v>
      </c>
      <c r="D648" s="28" t="str">
        <f>VLOOKUP(Table1[[#This Row],[Point of Origin]],Table2[#All],2,0)</f>
        <v>CNMI</v>
      </c>
      <c r="E648" s="28" t="str">
        <f>VLOOKUP(Table1[[#This Row],[Point of Origin]],Table2[#All],3,0)</f>
        <v>International</v>
      </c>
      <c r="F648" s="36" t="s">
        <v>163</v>
      </c>
      <c r="G648" s="21" t="s">
        <v>164</v>
      </c>
      <c r="H648" s="22">
        <v>50</v>
      </c>
      <c r="I648" s="22">
        <f>Table1[[#This Row],[Total Weight Imported (lbs)]]*0.453592</f>
        <v>22.679600000000001</v>
      </c>
      <c r="J648" s="23">
        <v>75</v>
      </c>
      <c r="K648" s="41"/>
    </row>
    <row r="649" spans="1:11" ht="15.75" customHeight="1">
      <c r="A649" s="28" t="s">
        <v>209</v>
      </c>
      <c r="B649" s="28" t="s">
        <v>200</v>
      </c>
      <c r="C649" s="28" t="s">
        <v>200</v>
      </c>
      <c r="D649" s="28" t="str">
        <f>VLOOKUP(Table1[[#This Row],[Point of Origin]],Table2[#All],2,0)</f>
        <v>CNMI</v>
      </c>
      <c r="E649" s="28" t="str">
        <f>VLOOKUP(Table1[[#This Row],[Point of Origin]],Table2[#All],3,0)</f>
        <v>International</v>
      </c>
      <c r="F649" s="36" t="s">
        <v>151</v>
      </c>
      <c r="G649" s="21" t="s">
        <v>152</v>
      </c>
      <c r="H649" s="22">
        <v>43</v>
      </c>
      <c r="I649" s="22">
        <f>Table1[[#This Row],[Total Weight Imported (lbs)]]*0.453592</f>
        <v>19.504456000000001</v>
      </c>
      <c r="J649" s="23">
        <v>30</v>
      </c>
      <c r="K649" s="41"/>
    </row>
    <row r="650" spans="1:11" ht="15.75" customHeight="1">
      <c r="A650" s="28" t="s">
        <v>209</v>
      </c>
      <c r="B650" s="28" t="s">
        <v>200</v>
      </c>
      <c r="C650" s="28" t="s">
        <v>200</v>
      </c>
      <c r="D650" s="28" t="str">
        <f>VLOOKUP(Table1[[#This Row],[Point of Origin]],Table2[#All],2,0)</f>
        <v>CNMI</v>
      </c>
      <c r="E650" s="28" t="str">
        <f>VLOOKUP(Table1[[#This Row],[Point of Origin]],Table2[#All],3,0)</f>
        <v>International</v>
      </c>
      <c r="F650" s="36" t="s">
        <v>184</v>
      </c>
      <c r="G650" s="21" t="s">
        <v>185</v>
      </c>
      <c r="H650" s="22">
        <v>50</v>
      </c>
      <c r="I650" s="22">
        <f>Table1[[#This Row],[Total Weight Imported (lbs)]]*0.453592</f>
        <v>22.679600000000001</v>
      </c>
      <c r="J650" s="23">
        <v>62</v>
      </c>
      <c r="K650" s="1"/>
    </row>
    <row r="651" spans="1:11" ht="15.75" customHeight="1">
      <c r="A651" s="28" t="s">
        <v>209</v>
      </c>
      <c r="B651" s="28" t="s">
        <v>200</v>
      </c>
      <c r="C651" s="28" t="s">
        <v>200</v>
      </c>
      <c r="D651" s="28" t="str">
        <f>VLOOKUP(Table1[[#This Row],[Point of Origin]],Table2[#All],2,0)</f>
        <v>CNMI</v>
      </c>
      <c r="E651" s="28" t="str">
        <f>VLOOKUP(Table1[[#This Row],[Point of Origin]],Table2[#All],3,0)</f>
        <v>International</v>
      </c>
      <c r="F651" s="28" t="s">
        <v>73</v>
      </c>
      <c r="G651" s="21" t="s">
        <v>74</v>
      </c>
      <c r="H651" s="22">
        <v>50</v>
      </c>
      <c r="I651" s="22">
        <f>Table1[[#This Row],[Total Weight Imported (lbs)]]*0.453592</f>
        <v>22.679600000000001</v>
      </c>
      <c r="J651" s="23">
        <v>40</v>
      </c>
      <c r="K651" s="1"/>
    </row>
    <row r="652" spans="1:11" ht="15.75" customHeight="1">
      <c r="A652" s="28" t="s">
        <v>209</v>
      </c>
      <c r="B652" s="28" t="s">
        <v>200</v>
      </c>
      <c r="C652" s="28" t="s">
        <v>200</v>
      </c>
      <c r="D652" s="28" t="str">
        <f>VLOOKUP(Table1[[#This Row],[Point of Origin]],Table2[#All],2,0)</f>
        <v>CNMI</v>
      </c>
      <c r="E652" s="28" t="str">
        <f>VLOOKUP(Table1[[#This Row],[Point of Origin]],Table2[#All],3,0)</f>
        <v>International</v>
      </c>
      <c r="F652" s="28" t="s">
        <v>128</v>
      </c>
      <c r="G652" s="21" t="s">
        <v>129</v>
      </c>
      <c r="H652" s="22">
        <v>262</v>
      </c>
      <c r="I652" s="22">
        <f>Table1[[#This Row],[Total Weight Imported (lbs)]]*0.453592</f>
        <v>118.841104</v>
      </c>
      <c r="J652" s="23">
        <v>327.5</v>
      </c>
      <c r="K652" s="41"/>
    </row>
    <row r="653" spans="1:11" ht="15.75" customHeight="1">
      <c r="A653" s="28" t="s">
        <v>209</v>
      </c>
      <c r="B653" s="28" t="s">
        <v>200</v>
      </c>
      <c r="C653" s="28" t="s">
        <v>200</v>
      </c>
      <c r="D653" s="28" t="str">
        <f>VLOOKUP(Table1[[#This Row],[Point of Origin]],Table2[#All],2,0)</f>
        <v>CNMI</v>
      </c>
      <c r="E653" s="28" t="str">
        <f>VLOOKUP(Table1[[#This Row],[Point of Origin]],Table2[#All],3,0)</f>
        <v>International</v>
      </c>
      <c r="F653" s="36" t="s">
        <v>184</v>
      </c>
      <c r="G653" s="21" t="s">
        <v>185</v>
      </c>
      <c r="H653" s="22">
        <v>26</v>
      </c>
      <c r="I653" s="22">
        <f>Table1[[#This Row],[Total Weight Imported (lbs)]]*0.453592</f>
        <v>11.793392000000001</v>
      </c>
      <c r="J653" s="23">
        <v>26</v>
      </c>
      <c r="K653" s="1"/>
    </row>
    <row r="654" spans="1:11" ht="15.75" customHeight="1">
      <c r="A654" s="28" t="s">
        <v>209</v>
      </c>
      <c r="B654" s="28" t="s">
        <v>200</v>
      </c>
      <c r="C654" s="28" t="s">
        <v>200</v>
      </c>
      <c r="D654" s="28" t="str">
        <f>VLOOKUP(Table1[[#This Row],[Point of Origin]],Table2[#All],2,0)</f>
        <v>CNMI</v>
      </c>
      <c r="E654" s="28" t="str">
        <f>VLOOKUP(Table1[[#This Row],[Point of Origin]],Table2[#All],3,0)</f>
        <v>International</v>
      </c>
      <c r="F654" s="36" t="s">
        <v>163</v>
      </c>
      <c r="G654" s="21" t="s">
        <v>164</v>
      </c>
      <c r="H654" s="22">
        <v>22</v>
      </c>
      <c r="I654" s="22">
        <f>Table1[[#This Row],[Total Weight Imported (lbs)]]*0.453592</f>
        <v>9.979023999999999</v>
      </c>
      <c r="J654" s="23">
        <v>39.6</v>
      </c>
      <c r="K654" s="41"/>
    </row>
    <row r="655" spans="1:11" ht="15.75" customHeight="1">
      <c r="A655" s="28" t="s">
        <v>209</v>
      </c>
      <c r="B655" s="28" t="s">
        <v>200</v>
      </c>
      <c r="C655" s="28" t="s">
        <v>200</v>
      </c>
      <c r="D655" s="28" t="str">
        <f>VLOOKUP(Table1[[#This Row],[Point of Origin]],Table2[#All],2,0)</f>
        <v>CNMI</v>
      </c>
      <c r="E655" s="28" t="str">
        <f>VLOOKUP(Table1[[#This Row],[Point of Origin]],Table2[#All],3,0)</f>
        <v>International</v>
      </c>
      <c r="F655" s="36" t="s">
        <v>137</v>
      </c>
      <c r="G655" s="21" t="s">
        <v>138</v>
      </c>
      <c r="H655" s="22">
        <v>76</v>
      </c>
      <c r="I655" s="22">
        <f>Table1[[#This Row],[Total Weight Imported (lbs)]]*0.453592</f>
        <v>34.472991999999998</v>
      </c>
      <c r="J655" s="23">
        <v>76</v>
      </c>
      <c r="K655" s="1"/>
    </row>
    <row r="656" spans="1:11" ht="15.75" customHeight="1">
      <c r="A656" s="28" t="s">
        <v>209</v>
      </c>
      <c r="B656" s="28" t="s">
        <v>200</v>
      </c>
      <c r="C656" s="28" t="s">
        <v>200</v>
      </c>
      <c r="D656" s="28" t="str">
        <f>VLOOKUP(Table1[[#This Row],[Point of Origin]],Table2[#All],2,0)</f>
        <v>CNMI</v>
      </c>
      <c r="E656" s="28" t="str">
        <f>VLOOKUP(Table1[[#This Row],[Point of Origin]],Table2[#All],3,0)</f>
        <v>International</v>
      </c>
      <c r="F656" s="28" t="s">
        <v>203</v>
      </c>
      <c r="G656" s="21" t="s">
        <v>49</v>
      </c>
      <c r="H656" s="22">
        <v>50</v>
      </c>
      <c r="I656" s="22">
        <f>Table1[[#This Row],[Total Weight Imported (lbs)]]*0.453592</f>
        <v>22.679600000000001</v>
      </c>
      <c r="J656" s="23">
        <v>50</v>
      </c>
      <c r="K656" s="41"/>
    </row>
    <row r="657" spans="1:11" ht="15.75" customHeight="1">
      <c r="A657" s="28" t="s">
        <v>209</v>
      </c>
      <c r="B657" s="28" t="s">
        <v>200</v>
      </c>
      <c r="C657" s="28" t="s">
        <v>200</v>
      </c>
      <c r="D657" s="28" t="str">
        <f>VLOOKUP(Table1[[#This Row],[Point of Origin]],Table2[#All],2,0)</f>
        <v>CNMI</v>
      </c>
      <c r="E657" s="28" t="str">
        <f>VLOOKUP(Table1[[#This Row],[Point of Origin]],Table2[#All],3,0)</f>
        <v>International</v>
      </c>
      <c r="F657" s="28" t="s">
        <v>73</v>
      </c>
      <c r="G657" s="21" t="s">
        <v>74</v>
      </c>
      <c r="H657" s="22">
        <v>160</v>
      </c>
      <c r="I657" s="22">
        <f>Table1[[#This Row],[Total Weight Imported (lbs)]]*0.453592</f>
        <v>72.574719999999999</v>
      </c>
      <c r="J657" s="23">
        <v>96</v>
      </c>
      <c r="K657" s="1"/>
    </row>
    <row r="658" spans="1:11" ht="15.75" customHeight="1">
      <c r="A658" s="28" t="s">
        <v>209</v>
      </c>
      <c r="B658" s="28" t="s">
        <v>200</v>
      </c>
      <c r="C658" s="28" t="s">
        <v>200</v>
      </c>
      <c r="D658" s="28" t="str">
        <f>VLOOKUP(Table1[[#This Row],[Point of Origin]],Table2[#All],2,0)</f>
        <v>CNMI</v>
      </c>
      <c r="E658" s="28" t="str">
        <f>VLOOKUP(Table1[[#This Row],[Point of Origin]],Table2[#All],3,0)</f>
        <v>International</v>
      </c>
      <c r="F658" s="28" t="s">
        <v>159</v>
      </c>
      <c r="G658" s="21" t="s">
        <v>160</v>
      </c>
      <c r="H658" s="22">
        <v>92</v>
      </c>
      <c r="I658" s="22">
        <f>Table1[[#This Row],[Total Weight Imported (lbs)]]*0.453592</f>
        <v>41.730463999999998</v>
      </c>
      <c r="J658" s="23">
        <v>115</v>
      </c>
      <c r="K658" s="1"/>
    </row>
    <row r="659" spans="1:11" ht="15.75" customHeight="1">
      <c r="A659" s="27" t="s">
        <v>212</v>
      </c>
      <c r="B659" s="27" t="s">
        <v>213</v>
      </c>
      <c r="C659" s="27" t="s">
        <v>213</v>
      </c>
      <c r="D659" s="20" t="str">
        <f>VLOOKUP(Table1[[#This Row],[Point of Origin]],Table2[#All],2,0)</f>
        <v>China</v>
      </c>
      <c r="E659" s="20" t="str">
        <f>VLOOKUP(Table1[[#This Row],[Point of Origin]],Table2[#All],3,0)</f>
        <v>International</v>
      </c>
      <c r="F659" s="20" t="s">
        <v>76</v>
      </c>
      <c r="G659" s="21" t="s">
        <v>77</v>
      </c>
      <c r="H659" s="22">
        <v>75</v>
      </c>
      <c r="I659" s="22">
        <f>Table1[[#This Row],[Total Weight Imported (lbs)]]*0.453592</f>
        <v>34.019399999999997</v>
      </c>
      <c r="J659" s="23">
        <v>115.5</v>
      </c>
      <c r="K659" s="1"/>
    </row>
    <row r="660" spans="1:11" ht="15.75" customHeight="1">
      <c r="A660" s="27" t="s">
        <v>212</v>
      </c>
      <c r="B660" s="27" t="s">
        <v>213</v>
      </c>
      <c r="C660" s="27" t="s">
        <v>213</v>
      </c>
      <c r="D660" s="20" t="str">
        <f>VLOOKUP(Table1[[#This Row],[Point of Origin]],Table2[#All],2,0)</f>
        <v>China</v>
      </c>
      <c r="E660" s="20" t="str">
        <f>VLOOKUP(Table1[[#This Row],[Point of Origin]],Table2[#All],3,0)</f>
        <v>International</v>
      </c>
      <c r="F660" s="27" t="s">
        <v>96</v>
      </c>
      <c r="G660" s="21" t="s">
        <v>97</v>
      </c>
      <c r="H660" s="22">
        <v>3200</v>
      </c>
      <c r="I660" s="22">
        <f>Table1[[#This Row],[Total Weight Imported (lbs)]]*0.453592</f>
        <v>1451.4944</v>
      </c>
      <c r="J660" s="23">
        <v>3289.8</v>
      </c>
      <c r="K660" s="1"/>
    </row>
    <row r="661" spans="1:11" ht="15.75" customHeight="1">
      <c r="A661" s="27" t="s">
        <v>212</v>
      </c>
      <c r="B661" s="27" t="s">
        <v>213</v>
      </c>
      <c r="C661" s="27" t="s">
        <v>213</v>
      </c>
      <c r="D661" s="20" t="str">
        <f>VLOOKUP(Table1[[#This Row],[Point of Origin]],Table2[#All],2,0)</f>
        <v>China</v>
      </c>
      <c r="E661" s="20" t="str">
        <f>VLOOKUP(Table1[[#This Row],[Point of Origin]],Table2[#All],3,0)</f>
        <v>International</v>
      </c>
      <c r="F661" s="27" t="s">
        <v>163</v>
      </c>
      <c r="G661" s="21" t="s">
        <v>164</v>
      </c>
      <c r="H661" s="22">
        <v>1200</v>
      </c>
      <c r="I661" s="22">
        <f>Table1[[#This Row],[Total Weight Imported (lbs)]]*0.453592</f>
        <v>544.31039999999996</v>
      </c>
      <c r="J661" s="23">
        <v>1956</v>
      </c>
      <c r="K661" s="41"/>
    </row>
    <row r="662" spans="1:11" ht="15.75" customHeight="1">
      <c r="A662" s="27" t="s">
        <v>212</v>
      </c>
      <c r="B662" s="27" t="s">
        <v>213</v>
      </c>
      <c r="C662" s="27" t="s">
        <v>213</v>
      </c>
      <c r="D662" s="20" t="str">
        <f>VLOOKUP(Table1[[#This Row],[Point of Origin]],Table2[#All],2,0)</f>
        <v>China</v>
      </c>
      <c r="E662" s="20" t="str">
        <f>VLOOKUP(Table1[[#This Row],[Point of Origin]],Table2[#All],3,0)</f>
        <v>International</v>
      </c>
      <c r="F662" s="20" t="s">
        <v>40</v>
      </c>
      <c r="G662" s="21" t="s">
        <v>41</v>
      </c>
      <c r="H662" s="22">
        <v>4000</v>
      </c>
      <c r="I662" s="22">
        <f>Table1[[#This Row],[Total Weight Imported (lbs)]]*0.453592</f>
        <v>1814.3679999999999</v>
      </c>
      <c r="J662" s="23">
        <v>1226</v>
      </c>
      <c r="K662" s="41"/>
    </row>
    <row r="663" spans="1:11" ht="15.75" customHeight="1">
      <c r="A663" s="27" t="s">
        <v>212</v>
      </c>
      <c r="B663" s="27" t="s">
        <v>213</v>
      </c>
      <c r="C663" s="27" t="s">
        <v>213</v>
      </c>
      <c r="D663" s="20" t="str">
        <f>VLOOKUP(Table1[[#This Row],[Point of Origin]],Table2[#All],2,0)</f>
        <v>China</v>
      </c>
      <c r="E663" s="20" t="str">
        <f>VLOOKUP(Table1[[#This Row],[Point of Origin]],Table2[#All],3,0)</f>
        <v>International</v>
      </c>
      <c r="F663" s="20" t="s">
        <v>54</v>
      </c>
      <c r="G663" s="21" t="s">
        <v>30</v>
      </c>
      <c r="H663" s="22">
        <v>900</v>
      </c>
      <c r="I663" s="22">
        <f>Table1[[#This Row],[Total Weight Imported (lbs)]]*0.453592</f>
        <v>408.2328</v>
      </c>
      <c r="J663" s="23">
        <v>532.20000000000005</v>
      </c>
      <c r="K663" s="41"/>
    </row>
    <row r="664" spans="1:11" ht="15.75" customHeight="1">
      <c r="A664" s="28" t="s">
        <v>214</v>
      </c>
      <c r="B664" s="28" t="s">
        <v>215</v>
      </c>
      <c r="C664" s="28" t="s">
        <v>215</v>
      </c>
      <c r="D664" s="28" t="str">
        <f>VLOOKUP(Table1[[#This Row],[Point of Origin]],Table2[#All],2,0)</f>
        <v>Australia</v>
      </c>
      <c r="E664" s="28" t="str">
        <f>VLOOKUP(Table1[[#This Row],[Point of Origin]],Table2[#All],3,0)</f>
        <v>International</v>
      </c>
      <c r="F664" s="28" t="s">
        <v>43</v>
      </c>
      <c r="G664" s="21" t="s">
        <v>44</v>
      </c>
      <c r="H664" s="22">
        <v>82453</v>
      </c>
      <c r="I664" s="22">
        <f>Table1[[#This Row],[Total Weight Imported (lbs)]]*0.453592</f>
        <v>37400.021176000002</v>
      </c>
      <c r="J664" s="23">
        <v>75276.7</v>
      </c>
      <c r="K664" s="41"/>
    </row>
    <row r="665" spans="1:11" ht="15.75" customHeight="1">
      <c r="A665" s="27" t="s">
        <v>216</v>
      </c>
      <c r="B665" s="27" t="s">
        <v>28</v>
      </c>
      <c r="C665" s="27" t="s">
        <v>14</v>
      </c>
      <c r="D665" s="20" t="str">
        <f>VLOOKUP(Table1[[#This Row],[Point of Origin]],Table2[#All],2,0)</f>
        <v>USA</v>
      </c>
      <c r="E665" s="20" t="str">
        <f>VLOOKUP(Table1[[#This Row],[Point of Origin]],Table2[#All],3,0)</f>
        <v>Domestic</v>
      </c>
      <c r="F665" s="20" t="s">
        <v>15</v>
      </c>
      <c r="G665" s="21" t="s">
        <v>16</v>
      </c>
      <c r="H665" s="22">
        <v>880</v>
      </c>
      <c r="I665" s="22">
        <f>Table1[[#This Row],[Total Weight Imported (lbs)]]*0.453592</f>
        <v>399.16095999999999</v>
      </c>
      <c r="J665" s="23">
        <v>3320</v>
      </c>
      <c r="K665" s="41"/>
    </row>
    <row r="666" spans="1:11" ht="15.75" customHeight="1">
      <c r="A666" s="27" t="s">
        <v>216</v>
      </c>
      <c r="B666" s="27" t="s">
        <v>28</v>
      </c>
      <c r="C666" s="27" t="s">
        <v>14</v>
      </c>
      <c r="D666" s="20" t="str">
        <f>VLOOKUP(Table1[[#This Row],[Point of Origin]],Table2[#All],2,0)</f>
        <v>USA</v>
      </c>
      <c r="E666" s="20" t="str">
        <f>VLOOKUP(Table1[[#This Row],[Point of Origin]],Table2[#All],3,0)</f>
        <v>Domestic</v>
      </c>
      <c r="F666" s="27" t="s">
        <v>217</v>
      </c>
      <c r="G666" s="21" t="s">
        <v>202</v>
      </c>
      <c r="H666" s="22">
        <v>40</v>
      </c>
      <c r="I666" s="22">
        <f>Table1[[#This Row],[Total Weight Imported (lbs)]]*0.453592</f>
        <v>18.14368</v>
      </c>
      <c r="J666" s="23">
        <v>53.66</v>
      </c>
      <c r="K666" s="1"/>
    </row>
    <row r="667" spans="1:11" ht="15.75" customHeight="1">
      <c r="A667" s="27" t="s">
        <v>216</v>
      </c>
      <c r="B667" s="27" t="s">
        <v>28</v>
      </c>
      <c r="C667" s="27" t="s">
        <v>14</v>
      </c>
      <c r="D667" s="20" t="str">
        <f>VLOOKUP(Table1[[#This Row],[Point of Origin]],Table2[#All],2,0)</f>
        <v>USA</v>
      </c>
      <c r="E667" s="20" t="str">
        <f>VLOOKUP(Table1[[#This Row],[Point of Origin]],Table2[#All],3,0)</f>
        <v>Domestic</v>
      </c>
      <c r="F667" s="20" t="s">
        <v>124</v>
      </c>
      <c r="G667" s="21" t="s">
        <v>30</v>
      </c>
      <c r="H667" s="22">
        <v>275</v>
      </c>
      <c r="I667" s="22">
        <f>Table1[[#This Row],[Total Weight Imported (lbs)]]*0.453592</f>
        <v>124.73779999999999</v>
      </c>
      <c r="J667" s="23">
        <f>73.18+175.59</f>
        <v>248.77</v>
      </c>
      <c r="K667" s="41"/>
    </row>
    <row r="668" spans="1:11" ht="15.75" customHeight="1">
      <c r="A668" s="27" t="s">
        <v>216</v>
      </c>
      <c r="B668" s="27" t="s">
        <v>28</v>
      </c>
      <c r="C668" s="27" t="s">
        <v>14</v>
      </c>
      <c r="D668" s="20" t="str">
        <f>VLOOKUP(Table1[[#This Row],[Point of Origin]],Table2[#All],2,0)</f>
        <v>USA</v>
      </c>
      <c r="E668" s="20" t="str">
        <f>VLOOKUP(Table1[[#This Row],[Point of Origin]],Table2[#All],3,0)</f>
        <v>Domestic</v>
      </c>
      <c r="F668" s="20" t="s">
        <v>19</v>
      </c>
      <c r="G668" s="21" t="s">
        <v>20</v>
      </c>
      <c r="H668" s="22">
        <f>(18*166)+28</f>
        <v>3016</v>
      </c>
      <c r="I668" s="22">
        <f>Table1[[#This Row],[Total Weight Imported (lbs)]]*0.453592</f>
        <v>1368.0334720000001</v>
      </c>
      <c r="J668" s="23">
        <f>63.41+5361.8</f>
        <v>5425.21</v>
      </c>
      <c r="K668" s="41"/>
    </row>
    <row r="669" spans="1:11" ht="15.75" customHeight="1">
      <c r="A669" s="27" t="s">
        <v>216</v>
      </c>
      <c r="B669" s="27" t="s">
        <v>28</v>
      </c>
      <c r="C669" s="27" t="s">
        <v>14</v>
      </c>
      <c r="D669" s="20" t="str">
        <f>VLOOKUP(Table1[[#This Row],[Point of Origin]],Table2[#All],2,0)</f>
        <v>USA</v>
      </c>
      <c r="E669" s="20" t="str">
        <f>VLOOKUP(Table1[[#This Row],[Point of Origin]],Table2[#All],3,0)</f>
        <v>Domestic</v>
      </c>
      <c r="F669" s="20" t="s">
        <v>21</v>
      </c>
      <c r="G669" s="21" t="s">
        <v>22</v>
      </c>
      <c r="H669" s="22">
        <v>250</v>
      </c>
      <c r="I669" s="22">
        <f>Table1[[#This Row],[Total Weight Imported (lbs)]]*0.453592</f>
        <v>113.398</v>
      </c>
      <c r="J669" s="23">
        <v>353.7</v>
      </c>
      <c r="K669" s="41"/>
    </row>
    <row r="670" spans="1:11" ht="15.75" customHeight="1">
      <c r="A670" s="27" t="s">
        <v>216</v>
      </c>
      <c r="B670" s="27" t="s">
        <v>28</v>
      </c>
      <c r="C670" s="27" t="s">
        <v>14</v>
      </c>
      <c r="D670" s="20" t="str">
        <f>VLOOKUP(Table1[[#This Row],[Point of Origin]],Table2[#All],2,0)</f>
        <v>USA</v>
      </c>
      <c r="E670" s="20" t="str">
        <f>VLOOKUP(Table1[[#This Row],[Point of Origin]],Table2[#All],3,0)</f>
        <v>Domestic</v>
      </c>
      <c r="F670" s="20" t="s">
        <v>82</v>
      </c>
      <c r="G670" s="21" t="s">
        <v>20</v>
      </c>
      <c r="H670" s="22">
        <f>1950+8360+1008+450+60+2968</f>
        <v>14796</v>
      </c>
      <c r="I670" s="22">
        <f>Table1[[#This Row],[Total Weight Imported (lbs)]]*0.453592</f>
        <v>6711.3472320000001</v>
      </c>
      <c r="J670" s="23">
        <f>1165.32+4541.76+1404.72+274.41+73.18+3167.28</f>
        <v>10626.67</v>
      </c>
      <c r="K670" s="41"/>
    </row>
    <row r="671" spans="1:11" ht="15.75" customHeight="1">
      <c r="A671" s="27" t="s">
        <v>216</v>
      </c>
      <c r="B671" s="27" t="s">
        <v>28</v>
      </c>
      <c r="C671" s="27" t="s">
        <v>14</v>
      </c>
      <c r="D671" s="20" t="str">
        <f>VLOOKUP(Table1[[#This Row],[Point of Origin]],Table2[#All],2,0)</f>
        <v>USA</v>
      </c>
      <c r="E671" s="20" t="str">
        <f>VLOOKUP(Table1[[#This Row],[Point of Origin]],Table2[#All],3,0)</f>
        <v>Domestic</v>
      </c>
      <c r="F671" s="20" t="s">
        <v>19</v>
      </c>
      <c r="G671" s="21" t="s">
        <v>20</v>
      </c>
      <c r="H671" s="22">
        <f>782+18+18</f>
        <v>818</v>
      </c>
      <c r="I671" s="22">
        <f>Table1[[#This Row],[Total Weight Imported (lbs)]]*0.453592</f>
        <v>371.03825599999999</v>
      </c>
      <c r="J671" s="23">
        <f>906.1+41.28+41.28</f>
        <v>988.66</v>
      </c>
      <c r="K671" s="41"/>
    </row>
    <row r="672" spans="1:11" ht="15.75" customHeight="1">
      <c r="A672" s="27" t="s">
        <v>216</v>
      </c>
      <c r="B672" s="27" t="s">
        <v>28</v>
      </c>
      <c r="C672" s="27" t="s">
        <v>14</v>
      </c>
      <c r="D672" s="20" t="str">
        <f>VLOOKUP(Table1[[#This Row],[Point of Origin]],Table2[#All],2,0)</f>
        <v>USA</v>
      </c>
      <c r="E672" s="20" t="str">
        <f>VLOOKUP(Table1[[#This Row],[Point of Origin]],Table2[#All],3,0)</f>
        <v>Domestic</v>
      </c>
      <c r="F672" s="27" t="s">
        <v>56</v>
      </c>
      <c r="G672" s="21" t="s">
        <v>57</v>
      </c>
      <c r="H672" s="22">
        <f>3172+230+90</f>
        <v>3492</v>
      </c>
      <c r="I672" s="22">
        <f>Table1[[#This Row],[Total Weight Imported (lbs)]]*0.453592</f>
        <v>1583.943264</v>
      </c>
      <c r="J672" s="23">
        <f>1327.97+242.1+194.2</f>
        <v>1764.27</v>
      </c>
      <c r="K672" s="41"/>
    </row>
    <row r="673" spans="1:11" ht="15.75" customHeight="1">
      <c r="A673" s="27" t="s">
        <v>216</v>
      </c>
      <c r="B673" s="27" t="s">
        <v>28</v>
      </c>
      <c r="C673" s="27" t="s">
        <v>14</v>
      </c>
      <c r="D673" s="20" t="str">
        <f>VLOOKUP(Table1[[#This Row],[Point of Origin]],Table2[#All],2,0)</f>
        <v>USA</v>
      </c>
      <c r="E673" s="20" t="str">
        <f>VLOOKUP(Table1[[#This Row],[Point of Origin]],Table2[#All],3,0)</f>
        <v>Domestic</v>
      </c>
      <c r="F673" s="27" t="s">
        <v>109</v>
      </c>
      <c r="G673" s="21" t="s">
        <v>20</v>
      </c>
      <c r="H673" s="22">
        <v>64</v>
      </c>
      <c r="I673" s="22">
        <f>Table1[[#This Row],[Total Weight Imported (lbs)]]*0.453592</f>
        <v>29.029888</v>
      </c>
      <c r="J673" s="23">
        <v>97.56</v>
      </c>
      <c r="K673" s="1"/>
    </row>
    <row r="674" spans="1:11" ht="15.75" customHeight="1">
      <c r="A674" s="27" t="s">
        <v>216</v>
      </c>
      <c r="B674" s="27" t="s">
        <v>28</v>
      </c>
      <c r="C674" s="27" t="s">
        <v>14</v>
      </c>
      <c r="D674" s="20" t="str">
        <f>VLOOKUP(Table1[[#This Row],[Point of Origin]],Table2[#All],2,0)</f>
        <v>USA</v>
      </c>
      <c r="E674" s="20" t="str">
        <f>VLOOKUP(Table1[[#This Row],[Point of Origin]],Table2[#All],3,0)</f>
        <v>Domestic</v>
      </c>
      <c r="F674" s="20" t="s">
        <v>83</v>
      </c>
      <c r="G674" s="21" t="s">
        <v>32</v>
      </c>
      <c r="H674" s="22">
        <v>160</v>
      </c>
      <c r="I674" s="22">
        <f>Table1[[#This Row],[Total Weight Imported (lbs)]]*0.453592</f>
        <v>72.574719999999999</v>
      </c>
      <c r="J674" s="23">
        <v>214.64</v>
      </c>
      <c r="K674" s="41"/>
    </row>
    <row r="675" spans="1:11" ht="15.75" customHeight="1">
      <c r="A675" s="27" t="s">
        <v>216</v>
      </c>
      <c r="B675" s="27" t="s">
        <v>28</v>
      </c>
      <c r="C675" s="27" t="s">
        <v>14</v>
      </c>
      <c r="D675" s="20" t="str">
        <f>VLOOKUP(Table1[[#This Row],[Point of Origin]],Table2[#All],2,0)</f>
        <v>USA</v>
      </c>
      <c r="E675" s="20" t="str">
        <f>VLOOKUP(Table1[[#This Row],[Point of Origin]],Table2[#All],3,0)</f>
        <v>Domestic</v>
      </c>
      <c r="F675" s="27" t="s">
        <v>183</v>
      </c>
      <c r="G675" s="21" t="s">
        <v>32</v>
      </c>
      <c r="H675" s="22">
        <v>90</v>
      </c>
      <c r="I675" s="22">
        <f>Table1[[#This Row],[Total Weight Imported (lbs)]]*0.453592</f>
        <v>40.823279999999997</v>
      </c>
      <c r="J675" s="23">
        <v>98.61</v>
      </c>
      <c r="K675" s="41"/>
    </row>
    <row r="676" spans="1:11" ht="15.75" customHeight="1">
      <c r="A676" s="27" t="s">
        <v>216</v>
      </c>
      <c r="B676" s="27" t="s">
        <v>28</v>
      </c>
      <c r="C676" s="27" t="s">
        <v>14</v>
      </c>
      <c r="D676" s="20" t="str">
        <f>VLOOKUP(Table1[[#This Row],[Point of Origin]],Table2[#All],2,0)</f>
        <v>USA</v>
      </c>
      <c r="E676" s="20" t="str">
        <f>VLOOKUP(Table1[[#This Row],[Point of Origin]],Table2[#All],3,0)</f>
        <v>Domestic</v>
      </c>
      <c r="F676" s="27" t="s">
        <v>87</v>
      </c>
      <c r="G676" s="21" t="s">
        <v>20</v>
      </c>
      <c r="H676" s="22">
        <v>456</v>
      </c>
      <c r="I676" s="22">
        <f>Table1[[#This Row],[Total Weight Imported (lbs)]]*0.453592</f>
        <v>206.837952</v>
      </c>
      <c r="J676" s="23">
        <v>718.2</v>
      </c>
      <c r="K676" s="41"/>
    </row>
    <row r="677" spans="1:11" ht="15.75" customHeight="1">
      <c r="A677" s="27" t="s">
        <v>216</v>
      </c>
      <c r="B677" s="27" t="s">
        <v>28</v>
      </c>
      <c r="C677" s="27" t="s">
        <v>14</v>
      </c>
      <c r="D677" s="20" t="str">
        <f>VLOOKUP(Table1[[#This Row],[Point of Origin]],Table2[#All],2,0)</f>
        <v>USA</v>
      </c>
      <c r="E677" s="20" t="str">
        <f>VLOOKUP(Table1[[#This Row],[Point of Origin]],Table2[#All],3,0)</f>
        <v>Domestic</v>
      </c>
      <c r="F677" s="20" t="s">
        <v>59</v>
      </c>
      <c r="G677" s="21" t="s">
        <v>60</v>
      </c>
      <c r="H677" s="22">
        <f>42+725+20+60</f>
        <v>847</v>
      </c>
      <c r="I677" s="22">
        <f>Table1[[#This Row],[Total Weight Imported (lbs)]]*0.453592</f>
        <v>384.19242400000002</v>
      </c>
      <c r="J677" s="23">
        <f>38.9+21.34+790.54+34.76+98.22</f>
        <v>983.76</v>
      </c>
      <c r="K677" s="41"/>
    </row>
    <row r="678" spans="1:11" ht="15.75" customHeight="1">
      <c r="A678" s="27" t="s">
        <v>216</v>
      </c>
      <c r="B678" s="27" t="s">
        <v>28</v>
      </c>
      <c r="C678" s="27" t="s">
        <v>14</v>
      </c>
      <c r="D678" s="20" t="str">
        <f>VLOOKUP(Table1[[#This Row],[Point of Origin]],Table2[#All],2,0)</f>
        <v>USA</v>
      </c>
      <c r="E678" s="20" t="str">
        <f>VLOOKUP(Table1[[#This Row],[Point of Origin]],Table2[#All],3,0)</f>
        <v>Domestic</v>
      </c>
      <c r="F678" s="27" t="s">
        <v>58</v>
      </c>
      <c r="G678" s="21" t="s">
        <v>34</v>
      </c>
      <c r="H678" s="22">
        <f>2940+230</f>
        <v>3170</v>
      </c>
      <c r="I678" s="22">
        <f>Table1[[#This Row],[Total Weight Imported (lbs)]]*0.453592</f>
        <v>1437.8866399999999</v>
      </c>
      <c r="J678" s="23">
        <f>2425.5+481.7</f>
        <v>2907.2</v>
      </c>
      <c r="K678" s="1"/>
    </row>
    <row r="679" spans="1:11" ht="15.75" customHeight="1">
      <c r="A679" s="27" t="s">
        <v>216</v>
      </c>
      <c r="B679" s="27" t="s">
        <v>28</v>
      </c>
      <c r="C679" s="27" t="s">
        <v>14</v>
      </c>
      <c r="D679" s="20" t="str">
        <f>VLOOKUP(Table1[[#This Row],[Point of Origin]],Table2[#All],2,0)</f>
        <v>USA</v>
      </c>
      <c r="E679" s="20" t="str">
        <f>VLOOKUP(Table1[[#This Row],[Point of Origin]],Table2[#All],3,0)</f>
        <v>Domestic</v>
      </c>
      <c r="F679" s="20" t="s">
        <v>54</v>
      </c>
      <c r="G679" s="21" t="s">
        <v>30</v>
      </c>
      <c r="H679" s="22">
        <f>9+760+33+50</f>
        <v>852</v>
      </c>
      <c r="I679" s="22">
        <f>Table1[[#This Row],[Total Weight Imported (lbs)]]*0.453592</f>
        <v>386.46038399999998</v>
      </c>
      <c r="J679" s="23">
        <f>40.67+370.69+76.83+80.48</f>
        <v>568.66999999999996</v>
      </c>
      <c r="K679" s="41"/>
    </row>
    <row r="680" spans="1:11" ht="15.75" customHeight="1">
      <c r="A680" s="27" t="s">
        <v>216</v>
      </c>
      <c r="B680" s="27" t="s">
        <v>28</v>
      </c>
      <c r="C680" s="27" t="s">
        <v>14</v>
      </c>
      <c r="D680" s="20" t="str">
        <f>VLOOKUP(Table1[[#This Row],[Point of Origin]],Table2[#All],2,0)</f>
        <v>USA</v>
      </c>
      <c r="E680" s="20" t="str">
        <f>VLOOKUP(Table1[[#This Row],[Point of Origin]],Table2[#All],3,0)</f>
        <v>Domestic</v>
      </c>
      <c r="F680" s="27" t="s">
        <v>102</v>
      </c>
      <c r="G680" s="21" t="s">
        <v>32</v>
      </c>
      <c r="H680" s="22">
        <f>96+24</f>
        <v>120</v>
      </c>
      <c r="I680" s="22">
        <f>Table1[[#This Row],[Total Weight Imported (lbs)]]*0.453592</f>
        <v>54.431039999999996</v>
      </c>
      <c r="J680" s="23">
        <f>175.6+43.9</f>
        <v>219.5</v>
      </c>
      <c r="K680" s="41"/>
    </row>
    <row r="681" spans="1:11" ht="15.75" customHeight="1">
      <c r="A681" s="27" t="s">
        <v>216</v>
      </c>
      <c r="B681" s="27" t="s">
        <v>28</v>
      </c>
      <c r="C681" s="27" t="s">
        <v>14</v>
      </c>
      <c r="D681" s="20" t="str">
        <f>VLOOKUP(Table1[[#This Row],[Point of Origin]],Table2[#All],2,0)</f>
        <v>USA</v>
      </c>
      <c r="E681" s="20" t="str">
        <f>VLOOKUP(Table1[[#This Row],[Point of Origin]],Table2[#All],3,0)</f>
        <v>Domestic</v>
      </c>
      <c r="F681" s="27" t="s">
        <v>169</v>
      </c>
      <c r="G681" s="21" t="s">
        <v>170</v>
      </c>
      <c r="H681" s="22">
        <v>180</v>
      </c>
      <c r="I681" s="22">
        <f>Table1[[#This Row],[Total Weight Imported (lbs)]]*0.453592</f>
        <v>81.646559999999994</v>
      </c>
      <c r="J681" s="23">
        <v>691.38</v>
      </c>
      <c r="K681" s="41"/>
    </row>
    <row r="682" spans="1:11" ht="15.75" customHeight="1">
      <c r="A682" s="27" t="s">
        <v>216</v>
      </c>
      <c r="B682" s="27" t="s">
        <v>28</v>
      </c>
      <c r="C682" s="27" t="s">
        <v>14</v>
      </c>
      <c r="D682" s="20" t="str">
        <f>VLOOKUP(Table1[[#This Row],[Point of Origin]],Table2[#All],2,0)</f>
        <v>USA</v>
      </c>
      <c r="E682" s="20" t="str">
        <f>VLOOKUP(Table1[[#This Row],[Point of Origin]],Table2[#All],3,0)</f>
        <v>Domestic</v>
      </c>
      <c r="F682" s="20" t="s">
        <v>63</v>
      </c>
      <c r="G682" s="21" t="s">
        <v>64</v>
      </c>
      <c r="H682" s="22">
        <v>24</v>
      </c>
      <c r="I682" s="22">
        <f>Table1[[#This Row],[Total Weight Imported (lbs)]]*0.453592</f>
        <v>10.886208</v>
      </c>
      <c r="J682" s="23">
        <v>26.83</v>
      </c>
      <c r="K682" s="1"/>
    </row>
    <row r="683" spans="1:11" ht="15.75" customHeight="1">
      <c r="A683" s="27" t="s">
        <v>216</v>
      </c>
      <c r="B683" s="27" t="s">
        <v>28</v>
      </c>
      <c r="C683" s="27" t="s">
        <v>14</v>
      </c>
      <c r="D683" s="20" t="str">
        <f>VLOOKUP(Table1[[#This Row],[Point of Origin]],Table2[#All],2,0)</f>
        <v>USA</v>
      </c>
      <c r="E683" s="20" t="str">
        <f>VLOOKUP(Table1[[#This Row],[Point of Origin]],Table2[#All],3,0)</f>
        <v>Domestic</v>
      </c>
      <c r="F683" s="20" t="s">
        <v>218</v>
      </c>
      <c r="G683" s="21" t="s">
        <v>41</v>
      </c>
      <c r="H683" s="22">
        <v>25</v>
      </c>
      <c r="I683" s="22">
        <f>Table1[[#This Row],[Total Weight Imported (lbs)]]*0.453592</f>
        <v>11.3398</v>
      </c>
      <c r="J683" s="23">
        <v>36.590000000000003</v>
      </c>
      <c r="K683" s="41"/>
    </row>
    <row r="684" spans="1:11" ht="15.75" customHeight="1">
      <c r="A684" s="28" t="s">
        <v>219</v>
      </c>
      <c r="B684" s="28" t="s">
        <v>28</v>
      </c>
      <c r="C684" s="28" t="s">
        <v>14</v>
      </c>
      <c r="D684" s="28" t="str">
        <f>VLOOKUP(Table1[[#This Row],[Point of Origin]],Table2[#All],2,0)</f>
        <v>USA</v>
      </c>
      <c r="E684" s="28" t="str">
        <f>VLOOKUP(Table1[[#This Row],[Point of Origin]],Table2[#All],3,0)</f>
        <v>Domestic</v>
      </c>
      <c r="F684" s="28" t="s">
        <v>141</v>
      </c>
      <c r="G684" s="21" t="s">
        <v>142</v>
      </c>
      <c r="H684" s="22">
        <f>40000</f>
        <v>40000</v>
      </c>
      <c r="I684" s="22">
        <f>Table1[[#This Row],[Total Weight Imported (lbs)]]*0.453592</f>
        <v>18143.68</v>
      </c>
      <c r="J684" s="23">
        <f>9500</f>
        <v>9500</v>
      </c>
      <c r="K684" s="1"/>
    </row>
    <row r="685" spans="1:11" ht="15.75" customHeight="1">
      <c r="A685" s="27" t="s">
        <v>220</v>
      </c>
      <c r="B685" s="27" t="s">
        <v>213</v>
      </c>
      <c r="C685" s="27" t="s">
        <v>213</v>
      </c>
      <c r="D685" s="20" t="str">
        <f>VLOOKUP(Table1[[#This Row],[Point of Origin]],Table2[#All],2,0)</f>
        <v>China</v>
      </c>
      <c r="E685" s="20" t="str">
        <f>VLOOKUP(Table1[[#This Row],[Point of Origin]],Table2[#All],3,0)</f>
        <v>International</v>
      </c>
      <c r="F685" s="27" t="s">
        <v>96</v>
      </c>
      <c r="G685" s="21" t="s">
        <v>97</v>
      </c>
      <c r="H685" s="22">
        <f>(22*180)+(300*20*1.1)+(20*270)</f>
        <v>15960</v>
      </c>
      <c r="I685" s="22">
        <f>Table1[[#This Row],[Total Weight Imported (lbs)]]*0.453592</f>
        <v>7239.3283199999996</v>
      </c>
      <c r="J685" s="23">
        <f>3420+8100+6750</f>
        <v>18270</v>
      </c>
      <c r="K685" s="1"/>
    </row>
    <row r="686" spans="1:11" ht="15.75" customHeight="1">
      <c r="A686" s="27" t="s">
        <v>220</v>
      </c>
      <c r="B686" s="27" t="s">
        <v>213</v>
      </c>
      <c r="C686" s="27" t="s">
        <v>213</v>
      </c>
      <c r="D686" s="20" t="str">
        <f>VLOOKUP(Table1[[#This Row],[Point of Origin]],Table2[#All],2,0)</f>
        <v>China</v>
      </c>
      <c r="E686" s="20" t="str">
        <f>VLOOKUP(Table1[[#This Row],[Point of Origin]],Table2[#All],3,0)</f>
        <v>International</v>
      </c>
      <c r="F686" s="20" t="s">
        <v>76</v>
      </c>
      <c r="G686" s="21" t="s">
        <v>77</v>
      </c>
      <c r="H686" s="22">
        <v>75</v>
      </c>
      <c r="I686" s="22">
        <f>Table1[[#This Row],[Total Weight Imported (lbs)]]*0.453592</f>
        <v>34.019399999999997</v>
      </c>
      <c r="J686" s="23">
        <v>115.5</v>
      </c>
      <c r="K686" s="1"/>
    </row>
    <row r="687" spans="1:11" ht="15.75" customHeight="1">
      <c r="A687" s="28" t="s">
        <v>221</v>
      </c>
      <c r="B687" s="28" t="s">
        <v>222</v>
      </c>
      <c r="C687" s="28" t="s">
        <v>222</v>
      </c>
      <c r="D687" s="28" t="str">
        <f>VLOOKUP(Table1[[#This Row],[Point of Origin]],Table2[#All],2,0)</f>
        <v>Japan</v>
      </c>
      <c r="E687" s="28" t="str">
        <f>VLOOKUP(Table1[[#This Row],[Point of Origin]],Table2[#All],3,0)</f>
        <v>International</v>
      </c>
      <c r="F687" s="28" t="s">
        <v>128</v>
      </c>
      <c r="G687" s="21" t="s">
        <v>129</v>
      </c>
      <c r="H687" s="22">
        <f>7937</f>
        <v>7937</v>
      </c>
      <c r="I687" s="22">
        <f>Table1[[#This Row],[Total Weight Imported (lbs)]]*0.453592</f>
        <v>3600.1597040000001</v>
      </c>
      <c r="J687" s="23">
        <f>8858+4077+970.2+970.2+885.8</f>
        <v>15761.2</v>
      </c>
      <c r="K687" s="1"/>
    </row>
    <row r="688" spans="1:11" ht="15.75" customHeight="1">
      <c r="A688" s="27" t="s">
        <v>223</v>
      </c>
      <c r="B688" s="27" t="s">
        <v>213</v>
      </c>
      <c r="C688" s="27" t="s">
        <v>213</v>
      </c>
      <c r="D688" s="20" t="str">
        <f>VLOOKUP(Table1[[#This Row],[Point of Origin]],Table2[#All],2,0)</f>
        <v>China</v>
      </c>
      <c r="E688" s="20" t="str">
        <f>VLOOKUP(Table1[[#This Row],[Point of Origin]],Table2[#All],3,0)</f>
        <v>International</v>
      </c>
      <c r="F688" s="27" t="s">
        <v>96</v>
      </c>
      <c r="G688" s="21" t="s">
        <v>97</v>
      </c>
      <c r="H688" s="22">
        <f>2500+2000+3178</f>
        <v>7678</v>
      </c>
      <c r="I688" s="22">
        <f>Table1[[#This Row],[Total Weight Imported (lbs)]]*0.453592</f>
        <v>3482.679376</v>
      </c>
      <c r="J688" s="23">
        <f>5000+5400+8750</f>
        <v>19150</v>
      </c>
      <c r="K688" s="1"/>
    </row>
    <row r="689" spans="1:11" ht="15.75" customHeight="1">
      <c r="A689" s="27" t="s">
        <v>223</v>
      </c>
      <c r="B689" s="27" t="s">
        <v>213</v>
      </c>
      <c r="C689" s="27" t="s">
        <v>213</v>
      </c>
      <c r="D689" s="20" t="str">
        <f>VLOOKUP(Table1[[#This Row],[Point of Origin]],Table2[#All],2,0)</f>
        <v>China</v>
      </c>
      <c r="E689" s="20" t="str">
        <f>VLOOKUP(Table1[[#This Row],[Point of Origin]],Table2[#All],3,0)</f>
        <v>International</v>
      </c>
      <c r="F689" s="20" t="s">
        <v>76</v>
      </c>
      <c r="G689" s="21" t="s">
        <v>77</v>
      </c>
      <c r="H689" s="22">
        <v>75</v>
      </c>
      <c r="I689" s="22">
        <f>Table1[[#This Row],[Total Weight Imported (lbs)]]*0.453592</f>
        <v>34.019399999999997</v>
      </c>
      <c r="J689" s="23">
        <v>115.5</v>
      </c>
      <c r="K689" s="1"/>
    </row>
    <row r="690" spans="1:11" ht="15.75" customHeight="1">
      <c r="A690" s="28" t="s">
        <v>224</v>
      </c>
      <c r="B690" s="28" t="s">
        <v>213</v>
      </c>
      <c r="C690" s="28" t="s">
        <v>213</v>
      </c>
      <c r="D690" s="28" t="str">
        <f>VLOOKUP(Table1[[#This Row],[Point of Origin]],Table2[#All],2,0)</f>
        <v>China</v>
      </c>
      <c r="E690" s="28" t="str">
        <f>VLOOKUP(Table1[[#This Row],[Point of Origin]],Table2[#All],3,0)</f>
        <v>International</v>
      </c>
      <c r="F690" s="28" t="s">
        <v>154</v>
      </c>
      <c r="G690" s="21" t="s">
        <v>155</v>
      </c>
      <c r="H690" s="22">
        <v>28903</v>
      </c>
      <c r="I690" s="22">
        <f>Table1[[#This Row],[Total Weight Imported (lbs)]]*0.453592</f>
        <v>13110.169576</v>
      </c>
      <c r="J690" s="23">
        <f>35625</f>
        <v>35625</v>
      </c>
      <c r="K690" s="1"/>
    </row>
    <row r="691" spans="1:11" ht="15.75" customHeight="1">
      <c r="A691" s="27" t="s">
        <v>225</v>
      </c>
      <c r="B691" s="27" t="s">
        <v>222</v>
      </c>
      <c r="C691" s="27" t="s">
        <v>222</v>
      </c>
      <c r="D691" s="20" t="str">
        <f>VLOOKUP(Table1[[#This Row],[Point of Origin]],Table2[#All],2,0)</f>
        <v>Japan</v>
      </c>
      <c r="E691" s="20" t="str">
        <f>VLOOKUP(Table1[[#This Row],[Point of Origin]],Table2[#All],3,0)</f>
        <v>International</v>
      </c>
      <c r="F691" s="20" t="s">
        <v>54</v>
      </c>
      <c r="G691" s="21" t="s">
        <v>30</v>
      </c>
      <c r="H691" s="22">
        <v>441</v>
      </c>
      <c r="I691" s="22">
        <f>Table1[[#This Row],[Total Weight Imported (lbs)]]*0.453592</f>
        <v>200.03407200000001</v>
      </c>
      <c r="J691" s="23">
        <v>680.8</v>
      </c>
      <c r="K691" s="41"/>
    </row>
    <row r="692" spans="1:11" ht="15.75" customHeight="1">
      <c r="A692" s="27" t="s">
        <v>225</v>
      </c>
      <c r="B692" s="27" t="s">
        <v>222</v>
      </c>
      <c r="C692" s="27" t="s">
        <v>222</v>
      </c>
      <c r="D692" s="20" t="str">
        <f>VLOOKUP(Table1[[#This Row],[Point of Origin]],Table2[#All],2,0)</f>
        <v>Japan</v>
      </c>
      <c r="E692" s="20" t="str">
        <f>VLOOKUP(Table1[[#This Row],[Point of Origin]],Table2[#All],3,0)</f>
        <v>International</v>
      </c>
      <c r="F692" s="20" t="s">
        <v>40</v>
      </c>
      <c r="G692" s="21" t="s">
        <v>41</v>
      </c>
      <c r="H692" s="22">
        <v>529</v>
      </c>
      <c r="I692" s="22">
        <f>Table1[[#This Row],[Total Weight Imported (lbs)]]*0.453592</f>
        <v>239.95016799999999</v>
      </c>
      <c r="J692" s="23">
        <v>848.7</v>
      </c>
      <c r="K692" s="41"/>
    </row>
    <row r="693" spans="1:11" ht="15.75" customHeight="1">
      <c r="A693" s="27" t="s">
        <v>225</v>
      </c>
      <c r="B693" s="27" t="s">
        <v>222</v>
      </c>
      <c r="C693" s="27" t="s">
        <v>222</v>
      </c>
      <c r="D693" s="20" t="str">
        <f>VLOOKUP(Table1[[#This Row],[Point of Origin]],Table2[#All],2,0)</f>
        <v>Japan</v>
      </c>
      <c r="E693" s="20" t="str">
        <f>VLOOKUP(Table1[[#This Row],[Point of Origin]],Table2[#All],3,0)</f>
        <v>International</v>
      </c>
      <c r="F693" s="27" t="s">
        <v>135</v>
      </c>
      <c r="G693" s="21" t="s">
        <v>136</v>
      </c>
      <c r="H693" s="22">
        <v>22</v>
      </c>
      <c r="I693" s="22">
        <f>Table1[[#This Row],[Total Weight Imported (lbs)]]*0.453592</f>
        <v>9.979023999999999</v>
      </c>
      <c r="J693" s="23">
        <v>84.5</v>
      </c>
      <c r="K693" s="41"/>
    </row>
    <row r="694" spans="1:11" ht="15.75" customHeight="1">
      <c r="A694" s="27" t="s">
        <v>225</v>
      </c>
      <c r="B694" s="27" t="s">
        <v>222</v>
      </c>
      <c r="C694" s="27" t="s">
        <v>222</v>
      </c>
      <c r="D694" s="20" t="str">
        <f>VLOOKUP(Table1[[#This Row],[Point of Origin]],Table2[#All],2,0)</f>
        <v>Japan</v>
      </c>
      <c r="E694" s="20" t="str">
        <f>VLOOKUP(Table1[[#This Row],[Point of Origin]],Table2[#All],3,0)</f>
        <v>International</v>
      </c>
      <c r="F694" s="20" t="s">
        <v>36</v>
      </c>
      <c r="G694" s="21" t="s">
        <v>37</v>
      </c>
      <c r="H694" s="22">
        <v>469</v>
      </c>
      <c r="I694" s="22">
        <f>Table1[[#This Row],[Total Weight Imported (lbs)]]*0.453592</f>
        <v>212.73464799999999</v>
      </c>
      <c r="J694" s="23">
        <f>103.14+358.8+547.74+59.37+280.5+36.5+83.28+149.88+181.8+27.35</f>
        <v>1828.36</v>
      </c>
      <c r="K694" s="1"/>
    </row>
    <row r="695" spans="1:11" ht="15.75" customHeight="1">
      <c r="A695" s="27" t="s">
        <v>225</v>
      </c>
      <c r="B695" s="27" t="s">
        <v>222</v>
      </c>
      <c r="C695" s="27" t="s">
        <v>222</v>
      </c>
      <c r="D695" s="20" t="str">
        <f>VLOOKUP(Table1[[#This Row],[Point of Origin]],Table2[#All],2,0)</f>
        <v>Japan</v>
      </c>
      <c r="E695" s="20" t="str">
        <f>VLOOKUP(Table1[[#This Row],[Point of Origin]],Table2[#All],3,0)</f>
        <v>International</v>
      </c>
      <c r="F695" s="27" t="s">
        <v>96</v>
      </c>
      <c r="G695" s="21" t="s">
        <v>97</v>
      </c>
      <c r="H695" s="22">
        <v>121</v>
      </c>
      <c r="I695" s="22">
        <f>Table1[[#This Row],[Total Weight Imported (lbs)]]*0.453592</f>
        <v>54.884631999999996</v>
      </c>
      <c r="J695" s="23">
        <v>478.2</v>
      </c>
      <c r="K695" s="1"/>
    </row>
    <row r="696" spans="1:11" ht="15.75" customHeight="1">
      <c r="A696" s="27" t="s">
        <v>225</v>
      </c>
      <c r="B696" s="27" t="s">
        <v>222</v>
      </c>
      <c r="C696" s="27" t="s">
        <v>222</v>
      </c>
      <c r="D696" s="20" t="str">
        <f>VLOOKUP(Table1[[#This Row],[Point of Origin]],Table2[#All],2,0)</f>
        <v>Japan</v>
      </c>
      <c r="E696" s="20" t="str">
        <f>VLOOKUP(Table1[[#This Row],[Point of Origin]],Table2[#All],3,0)</f>
        <v>International</v>
      </c>
      <c r="F696" s="27" t="s">
        <v>226</v>
      </c>
      <c r="G696" s="21" t="s">
        <v>30</v>
      </c>
      <c r="H696" s="22">
        <v>33</v>
      </c>
      <c r="I696" s="22">
        <f>Table1[[#This Row],[Total Weight Imported (lbs)]]*0.453592</f>
        <v>14.968536</v>
      </c>
      <c r="J696" s="23">
        <v>106.14</v>
      </c>
      <c r="K696" s="1"/>
    </row>
    <row r="697" spans="1:11" ht="15.75" customHeight="1">
      <c r="A697" s="27" t="s">
        <v>225</v>
      </c>
      <c r="B697" s="27" t="s">
        <v>222</v>
      </c>
      <c r="C697" s="27" t="s">
        <v>222</v>
      </c>
      <c r="D697" s="20" t="str">
        <f>VLOOKUP(Table1[[#This Row],[Point of Origin]],Table2[#All],2,0)</f>
        <v>Japan</v>
      </c>
      <c r="E697" s="20" t="str">
        <f>VLOOKUP(Table1[[#This Row],[Point of Origin]],Table2[#All],3,0)</f>
        <v>International</v>
      </c>
      <c r="F697" s="20" t="s">
        <v>59</v>
      </c>
      <c r="G697" s="21" t="s">
        <v>60</v>
      </c>
      <c r="H697" s="22">
        <v>72</v>
      </c>
      <c r="I697" s="22">
        <f>Table1[[#This Row],[Total Weight Imported (lbs)]]*0.453592</f>
        <v>32.658624000000003</v>
      </c>
      <c r="J697" s="23">
        <v>223.75</v>
      </c>
      <c r="K697" s="41"/>
    </row>
    <row r="698" spans="1:11" ht="15.75" customHeight="1">
      <c r="A698" s="27" t="s">
        <v>225</v>
      </c>
      <c r="B698" s="27" t="s">
        <v>222</v>
      </c>
      <c r="C698" s="27" t="s">
        <v>222</v>
      </c>
      <c r="D698" s="20" t="str">
        <f>VLOOKUP(Table1[[#This Row],[Point of Origin]],Table2[#All],2,0)</f>
        <v>Japan</v>
      </c>
      <c r="E698" s="20" t="str">
        <f>VLOOKUP(Table1[[#This Row],[Point of Origin]],Table2[#All],3,0)</f>
        <v>International</v>
      </c>
      <c r="F698" s="27" t="s">
        <v>163</v>
      </c>
      <c r="G698" s="21" t="s">
        <v>164</v>
      </c>
      <c r="H698" s="22">
        <v>77</v>
      </c>
      <c r="I698" s="22">
        <f>Table1[[#This Row],[Total Weight Imported (lbs)]]*0.453592</f>
        <v>34.926583999999998</v>
      </c>
      <c r="J698" s="23">
        <v>259.24</v>
      </c>
      <c r="K698" s="41"/>
    </row>
    <row r="699" spans="1:11" ht="15.75" customHeight="1">
      <c r="A699" s="27" t="s">
        <v>225</v>
      </c>
      <c r="B699" s="27" t="s">
        <v>222</v>
      </c>
      <c r="C699" s="27" t="s">
        <v>222</v>
      </c>
      <c r="D699" s="20" t="str">
        <f>VLOOKUP(Table1[[#This Row],[Point of Origin]],Table2[#All],2,0)</f>
        <v>Japan</v>
      </c>
      <c r="E699" s="20" t="str">
        <f>VLOOKUP(Table1[[#This Row],[Point of Origin]],Table2[#All],3,0)</f>
        <v>International</v>
      </c>
      <c r="F699" s="20" t="s">
        <v>50</v>
      </c>
      <c r="G699" s="21" t="s">
        <v>51</v>
      </c>
      <c r="H699" s="22">
        <v>216</v>
      </c>
      <c r="I699" s="22">
        <f>Table1[[#This Row],[Total Weight Imported (lbs)]]*0.453592</f>
        <v>97.975871999999995</v>
      </c>
      <c r="J699" s="23">
        <f>395.2+432.36</f>
        <v>827.56</v>
      </c>
      <c r="K699" s="41"/>
    </row>
    <row r="700" spans="1:11" ht="15.75" customHeight="1">
      <c r="A700" s="27" t="s">
        <v>225</v>
      </c>
      <c r="B700" s="27" t="s">
        <v>222</v>
      </c>
      <c r="C700" s="27" t="s">
        <v>222</v>
      </c>
      <c r="D700" s="20" t="str">
        <f>VLOOKUP(Table1[[#This Row],[Point of Origin]],Table2[#All],2,0)</f>
        <v>Japan</v>
      </c>
      <c r="E700" s="20" t="str">
        <f>VLOOKUP(Table1[[#This Row],[Point of Origin]],Table2[#All],3,0)</f>
        <v>International</v>
      </c>
      <c r="F700" s="20" t="s">
        <v>82</v>
      </c>
      <c r="G700" s="21" t="s">
        <v>20</v>
      </c>
      <c r="H700" s="22">
        <f>441+1323</f>
        <v>1764</v>
      </c>
      <c r="I700" s="22">
        <f>Table1[[#This Row],[Total Weight Imported (lbs)]]*0.453592</f>
        <v>800.13628800000004</v>
      </c>
      <c r="J700" s="23">
        <f>647.2+2063</f>
        <v>2710.2</v>
      </c>
      <c r="K700" s="41"/>
    </row>
    <row r="701" spans="1:11" ht="15.75" customHeight="1">
      <c r="A701" s="27" t="s">
        <v>225</v>
      </c>
      <c r="B701" s="27" t="s">
        <v>222</v>
      </c>
      <c r="C701" s="27" t="s">
        <v>222</v>
      </c>
      <c r="D701" s="20" t="str">
        <f>VLOOKUP(Table1[[#This Row],[Point of Origin]],Table2[#All],2,0)</f>
        <v>Japan</v>
      </c>
      <c r="E701" s="20" t="str">
        <f>VLOOKUP(Table1[[#This Row],[Point of Origin]],Table2[#All],3,0)</f>
        <v>International</v>
      </c>
      <c r="F701" s="20" t="s">
        <v>81</v>
      </c>
      <c r="G701" s="21" t="s">
        <v>62</v>
      </c>
      <c r="H701" s="22">
        <v>132</v>
      </c>
      <c r="I701" s="22">
        <f>Table1[[#This Row],[Total Weight Imported (lbs)]]*0.453592</f>
        <v>59.874144000000001</v>
      </c>
      <c r="J701" s="23">
        <v>650.79999999999995</v>
      </c>
      <c r="K701" s="41"/>
    </row>
    <row r="702" spans="1:11" ht="15.75" customHeight="1">
      <c r="A702" s="27" t="s">
        <v>225</v>
      </c>
      <c r="B702" s="27" t="s">
        <v>222</v>
      </c>
      <c r="C702" s="27" t="s">
        <v>222</v>
      </c>
      <c r="D702" s="20" t="str">
        <f>VLOOKUP(Table1[[#This Row],[Point of Origin]],Table2[#All],2,0)</f>
        <v>Japan</v>
      </c>
      <c r="E702" s="20" t="str">
        <f>VLOOKUP(Table1[[#This Row],[Point of Origin]],Table2[#All],3,0)</f>
        <v>International</v>
      </c>
      <c r="F702" s="27" t="s">
        <v>227</v>
      </c>
      <c r="G702" s="21" t="s">
        <v>64</v>
      </c>
      <c r="H702" s="22">
        <v>441</v>
      </c>
      <c r="I702" s="22">
        <f>Table1[[#This Row],[Total Weight Imported (lbs)]]*0.453592</f>
        <v>200.03407200000001</v>
      </c>
      <c r="J702" s="23">
        <v>860.2</v>
      </c>
      <c r="K702" s="41"/>
    </row>
    <row r="703" spans="1:11" ht="15.75" customHeight="1">
      <c r="A703" s="27" t="s">
        <v>225</v>
      </c>
      <c r="B703" s="27" t="s">
        <v>222</v>
      </c>
      <c r="C703" s="27" t="s">
        <v>222</v>
      </c>
      <c r="D703" s="20" t="str">
        <f>VLOOKUP(Table1[[#This Row],[Point of Origin]],Table2[#All],2,0)</f>
        <v>Japan</v>
      </c>
      <c r="E703" s="20" t="str">
        <f>VLOOKUP(Table1[[#This Row],[Point of Origin]],Table2[#All],3,0)</f>
        <v>International</v>
      </c>
      <c r="F703" s="27" t="s">
        <v>119</v>
      </c>
      <c r="G703" s="21" t="s">
        <v>120</v>
      </c>
      <c r="H703" s="22">
        <v>2024</v>
      </c>
      <c r="I703" s="22">
        <f>Table1[[#This Row],[Total Weight Imported (lbs)]]*0.453592</f>
        <v>918.07020799999998</v>
      </c>
      <c r="J703" s="23">
        <f>1314.3+2304.12+1274.96+286.45</f>
        <v>5179.83</v>
      </c>
      <c r="K703" s="1"/>
    </row>
    <row r="704" spans="1:11" ht="15.75" customHeight="1">
      <c r="A704" s="27" t="s">
        <v>225</v>
      </c>
      <c r="B704" s="27" t="s">
        <v>222</v>
      </c>
      <c r="C704" s="27" t="s">
        <v>222</v>
      </c>
      <c r="D704" s="20" t="str">
        <f>VLOOKUP(Table1[[#This Row],[Point of Origin]],Table2[#All],2,0)</f>
        <v>Japan</v>
      </c>
      <c r="E704" s="20" t="str">
        <f>VLOOKUP(Table1[[#This Row],[Point of Origin]],Table2[#All],3,0)</f>
        <v>International</v>
      </c>
      <c r="F704" s="27" t="s">
        <v>228</v>
      </c>
      <c r="G704" s="21" t="s">
        <v>127</v>
      </c>
      <c r="H704" s="22">
        <v>18</v>
      </c>
      <c r="I704" s="22">
        <f>Table1[[#This Row],[Total Weight Imported (lbs)]]*0.453592</f>
        <v>8.1646560000000008</v>
      </c>
      <c r="J704" s="23">
        <v>182.4</v>
      </c>
      <c r="K704" s="1"/>
    </row>
    <row r="705" spans="1:11" ht="15.75" customHeight="1">
      <c r="A705" s="27" t="s">
        <v>225</v>
      </c>
      <c r="B705" s="27" t="s">
        <v>222</v>
      </c>
      <c r="C705" s="27" t="s">
        <v>222</v>
      </c>
      <c r="D705" s="20" t="str">
        <f>VLOOKUP(Table1[[#This Row],[Point of Origin]],Table2[#All],2,0)</f>
        <v>Japan</v>
      </c>
      <c r="E705" s="20" t="str">
        <f>VLOOKUP(Table1[[#This Row],[Point of Origin]],Table2[#All],3,0)</f>
        <v>International</v>
      </c>
      <c r="F705" s="27" t="s">
        <v>121</v>
      </c>
      <c r="G705" s="21" t="s">
        <v>122</v>
      </c>
      <c r="H705" s="22">
        <v>1058</v>
      </c>
      <c r="I705" s="22">
        <f>Table1[[#This Row],[Total Weight Imported (lbs)]]*0.453592</f>
        <v>479.90033599999998</v>
      </c>
      <c r="J705" s="23">
        <f>1153.44+2306.88</f>
        <v>3460.32</v>
      </c>
      <c r="K705" s="1"/>
    </row>
    <row r="706" spans="1:11" ht="15.75" customHeight="1">
      <c r="A706" s="28" t="s">
        <v>229</v>
      </c>
      <c r="B706" s="28" t="s">
        <v>222</v>
      </c>
      <c r="C706" s="28" t="s">
        <v>222</v>
      </c>
      <c r="D706" s="28" t="str">
        <f>VLOOKUP(Table1[[#This Row],[Point of Origin]],Table2[#All],2,0)</f>
        <v>Japan</v>
      </c>
      <c r="E706" s="28" t="str">
        <f>VLOOKUP(Table1[[#This Row],[Point of Origin]],Table2[#All],3,0)</f>
        <v>International</v>
      </c>
      <c r="F706" s="28" t="s">
        <v>81</v>
      </c>
      <c r="G706" s="21" t="s">
        <v>62</v>
      </c>
      <c r="H706" s="22">
        <v>7</v>
      </c>
      <c r="I706" s="22">
        <f>Table1[[#This Row],[Total Weight Imported (lbs)]]*0.453592</f>
        <v>3.175144</v>
      </c>
      <c r="J706" s="23">
        <v>74</v>
      </c>
      <c r="K706" s="41"/>
    </row>
    <row r="707" spans="1:11" ht="15.75" customHeight="1">
      <c r="A707" s="28" t="s">
        <v>229</v>
      </c>
      <c r="B707" s="28" t="s">
        <v>222</v>
      </c>
      <c r="C707" s="28" t="s">
        <v>222</v>
      </c>
      <c r="D707" s="28" t="str">
        <f>VLOOKUP(Table1[[#This Row],[Point of Origin]],Table2[#All],2,0)</f>
        <v>Japan</v>
      </c>
      <c r="E707" s="28" t="str">
        <f>VLOOKUP(Table1[[#This Row],[Point of Origin]],Table2[#All],3,0)</f>
        <v>International</v>
      </c>
      <c r="F707" s="28" t="s">
        <v>17</v>
      </c>
      <c r="G707" s="21" t="s">
        <v>18</v>
      </c>
      <c r="H707" s="22">
        <v>6</v>
      </c>
      <c r="I707" s="22">
        <f>Table1[[#This Row],[Total Weight Imported (lbs)]]*0.453592</f>
        <v>2.721552</v>
      </c>
      <c r="J707" s="23">
        <v>20</v>
      </c>
      <c r="K707" s="41"/>
    </row>
    <row r="708" spans="1:11" ht="15.75" customHeight="1">
      <c r="A708" s="28" t="s">
        <v>229</v>
      </c>
      <c r="B708" s="28" t="s">
        <v>222</v>
      </c>
      <c r="C708" s="28" t="s">
        <v>222</v>
      </c>
      <c r="D708" s="28" t="str">
        <f>VLOOKUP(Table1[[#This Row],[Point of Origin]],Table2[#All],2,0)</f>
        <v>Japan</v>
      </c>
      <c r="E708" s="28" t="str">
        <f>VLOOKUP(Table1[[#This Row],[Point of Origin]],Table2[#All],3,0)</f>
        <v>International</v>
      </c>
      <c r="F708" s="28" t="s">
        <v>130</v>
      </c>
      <c r="G708" s="21" t="s">
        <v>131</v>
      </c>
      <c r="H708" s="22">
        <v>88</v>
      </c>
      <c r="I708" s="22">
        <f>Table1[[#This Row],[Total Weight Imported (lbs)]]*0.453592</f>
        <v>39.916095999999996</v>
      </c>
      <c r="J708" s="23">
        <f>86+86+85+75</f>
        <v>332</v>
      </c>
      <c r="K708" s="1"/>
    </row>
    <row r="709" spans="1:11" ht="15.75" customHeight="1">
      <c r="A709" s="28" t="s">
        <v>229</v>
      </c>
      <c r="B709" s="28" t="s">
        <v>222</v>
      </c>
      <c r="C709" s="28" t="s">
        <v>222</v>
      </c>
      <c r="D709" s="28" t="str">
        <f>VLOOKUP(Table1[[#This Row],[Point of Origin]],Table2[#All],2,0)</f>
        <v>Japan</v>
      </c>
      <c r="E709" s="28" t="str">
        <f>VLOOKUP(Table1[[#This Row],[Point of Origin]],Table2[#All],3,0)</f>
        <v>International</v>
      </c>
      <c r="F709" s="36" t="s">
        <v>119</v>
      </c>
      <c r="G709" s="21" t="s">
        <v>120</v>
      </c>
      <c r="H709" s="22">
        <v>17</v>
      </c>
      <c r="I709" s="22">
        <f>Table1[[#This Row],[Total Weight Imported (lbs)]]*0.453592</f>
        <v>7.7110640000000004</v>
      </c>
      <c r="J709" s="23">
        <v>65</v>
      </c>
      <c r="K709" s="1"/>
    </row>
    <row r="710" spans="1:11" ht="15.75" customHeight="1">
      <c r="A710" s="28" t="s">
        <v>229</v>
      </c>
      <c r="B710" s="28" t="s">
        <v>222</v>
      </c>
      <c r="C710" s="28" t="s">
        <v>222</v>
      </c>
      <c r="D710" s="28" t="str">
        <f>VLOOKUP(Table1[[#This Row],[Point of Origin]],Table2[#All],2,0)</f>
        <v>Japan</v>
      </c>
      <c r="E710" s="28" t="str">
        <f>VLOOKUP(Table1[[#This Row],[Point of Origin]],Table2[#All],3,0)</f>
        <v>International</v>
      </c>
      <c r="F710" s="28" t="s">
        <v>84</v>
      </c>
      <c r="G710" s="21" t="s">
        <v>85</v>
      </c>
      <c r="H710" s="22">
        <f>20+27.5</f>
        <v>47.5</v>
      </c>
      <c r="I710" s="22">
        <f>Table1[[#This Row],[Total Weight Imported (lbs)]]*0.453592</f>
        <v>21.54562</v>
      </c>
      <c r="J710" s="23">
        <f>86+96+288+219</f>
        <v>689</v>
      </c>
      <c r="K710" s="1"/>
    </row>
    <row r="711" spans="1:11" ht="15.75" customHeight="1">
      <c r="A711" s="28" t="s">
        <v>229</v>
      </c>
      <c r="B711" s="28" t="s">
        <v>222</v>
      </c>
      <c r="C711" s="28" t="s">
        <v>222</v>
      </c>
      <c r="D711" s="28" t="str">
        <f>VLOOKUP(Table1[[#This Row],[Point of Origin]],Table2[#All],2,0)</f>
        <v>Japan</v>
      </c>
      <c r="E711" s="28" t="str">
        <f>VLOOKUP(Table1[[#This Row],[Point of Origin]],Table2[#All],3,0)</f>
        <v>International</v>
      </c>
      <c r="F711" s="28" t="s">
        <v>36</v>
      </c>
      <c r="G711" s="21" t="s">
        <v>37</v>
      </c>
      <c r="H711" s="22">
        <v>3</v>
      </c>
      <c r="I711" s="22">
        <f>Table1[[#This Row],[Total Weight Imported (lbs)]]*0.453592</f>
        <v>1.360776</v>
      </c>
      <c r="J711" s="23">
        <v>24</v>
      </c>
      <c r="K711" s="1"/>
    </row>
    <row r="712" spans="1:11" ht="15.75" customHeight="1">
      <c r="A712" s="28" t="s">
        <v>229</v>
      </c>
      <c r="B712" s="28" t="s">
        <v>222</v>
      </c>
      <c r="C712" s="28" t="s">
        <v>222</v>
      </c>
      <c r="D712" s="28" t="str">
        <f>VLOOKUP(Table1[[#This Row],[Point of Origin]],Table2[#All],2,0)</f>
        <v>Japan</v>
      </c>
      <c r="E712" s="28" t="str">
        <f>VLOOKUP(Table1[[#This Row],[Point of Origin]],Table2[#All],3,0)</f>
        <v>International</v>
      </c>
      <c r="F712" s="28" t="s">
        <v>50</v>
      </c>
      <c r="G712" s="21" t="s">
        <v>51</v>
      </c>
      <c r="H712" s="22">
        <v>22</v>
      </c>
      <c r="I712" s="22">
        <f>Table1[[#This Row],[Total Weight Imported (lbs)]]*0.453592</f>
        <v>9.979023999999999</v>
      </c>
      <c r="J712" s="23">
        <f>270+50</f>
        <v>320</v>
      </c>
      <c r="K712" s="41"/>
    </row>
    <row r="713" spans="1:11" ht="15.75" customHeight="1">
      <c r="A713" s="28" t="s">
        <v>229</v>
      </c>
      <c r="B713" s="28" t="s">
        <v>222</v>
      </c>
      <c r="C713" s="28" t="s">
        <v>222</v>
      </c>
      <c r="D713" s="28" t="str">
        <f>VLOOKUP(Table1[[#This Row],[Point of Origin]],Table2[#All],2,0)</f>
        <v>Japan</v>
      </c>
      <c r="E713" s="28" t="str">
        <f>VLOOKUP(Table1[[#This Row],[Point of Origin]],Table2[#All],3,0)</f>
        <v>International</v>
      </c>
      <c r="F713" s="28" t="s">
        <v>218</v>
      </c>
      <c r="G713" s="21" t="s">
        <v>41</v>
      </c>
      <c r="H713" s="22">
        <v>26</v>
      </c>
      <c r="I713" s="22">
        <f>Table1[[#This Row],[Total Weight Imported (lbs)]]*0.453592</f>
        <v>11.793392000000001</v>
      </c>
      <c r="J713" s="23">
        <v>67</v>
      </c>
      <c r="K713" s="41"/>
    </row>
    <row r="714" spans="1:11" ht="15.75" customHeight="1">
      <c r="A714" s="28" t="s">
        <v>229</v>
      </c>
      <c r="B714" s="28" t="s">
        <v>222</v>
      </c>
      <c r="C714" s="28" t="s">
        <v>222</v>
      </c>
      <c r="D714" s="28" t="str">
        <f>VLOOKUP(Table1[[#This Row],[Point of Origin]],Table2[#All],2,0)</f>
        <v>Japan</v>
      </c>
      <c r="E714" s="28" t="str">
        <f>VLOOKUP(Table1[[#This Row],[Point of Origin]],Table2[#All],3,0)</f>
        <v>International</v>
      </c>
      <c r="F714" s="36" t="s">
        <v>169</v>
      </c>
      <c r="G714" s="21" t="s">
        <v>170</v>
      </c>
      <c r="H714" s="22">
        <v>2</v>
      </c>
      <c r="I714" s="22">
        <f>Table1[[#This Row],[Total Weight Imported (lbs)]]*0.453592</f>
        <v>0.90718399999999999</v>
      </c>
      <c r="J714" s="23">
        <v>73</v>
      </c>
      <c r="K714" s="1"/>
    </row>
    <row r="715" spans="1:11" ht="15.75" customHeight="1">
      <c r="A715" s="28" t="s">
        <v>229</v>
      </c>
      <c r="B715" s="28" t="s">
        <v>222</v>
      </c>
      <c r="C715" s="28" t="s">
        <v>222</v>
      </c>
      <c r="D715" s="28" t="str">
        <f>VLOOKUP(Table1[[#This Row],[Point of Origin]],Table2[#All],2,0)</f>
        <v>Japan</v>
      </c>
      <c r="E715" s="28" t="str">
        <f>VLOOKUP(Table1[[#This Row],[Point of Origin]],Table2[#All],3,0)</f>
        <v>International</v>
      </c>
      <c r="F715" s="28" t="s">
        <v>17</v>
      </c>
      <c r="G715" s="21" t="s">
        <v>18</v>
      </c>
      <c r="H715" s="22">
        <v>4</v>
      </c>
      <c r="I715" s="22">
        <f>Table1[[#This Row],[Total Weight Imported (lbs)]]*0.453592</f>
        <v>1.814368</v>
      </c>
      <c r="J715" s="23">
        <v>38</v>
      </c>
      <c r="K715" s="41"/>
    </row>
    <row r="716" spans="1:11" ht="15.75" customHeight="1">
      <c r="A716" s="28" t="s">
        <v>229</v>
      </c>
      <c r="B716" s="28" t="s">
        <v>222</v>
      </c>
      <c r="C716" s="28" t="s">
        <v>222</v>
      </c>
      <c r="D716" s="28" t="str">
        <f>VLOOKUP(Table1[[#This Row],[Point of Origin]],Table2[#All],2,0)</f>
        <v>Japan</v>
      </c>
      <c r="E716" s="28" t="str">
        <f>VLOOKUP(Table1[[#This Row],[Point of Origin]],Table2[#All],3,0)</f>
        <v>International</v>
      </c>
      <c r="F716" s="28" t="s">
        <v>128</v>
      </c>
      <c r="G716" s="21" t="s">
        <v>129</v>
      </c>
      <c r="H716" s="22">
        <v>11</v>
      </c>
      <c r="I716" s="22">
        <f>Table1[[#This Row],[Total Weight Imported (lbs)]]*0.453592</f>
        <v>4.9895119999999995</v>
      </c>
      <c r="J716" s="23">
        <v>40</v>
      </c>
      <c r="K716" s="41"/>
    </row>
    <row r="717" spans="1:11" ht="15.75" customHeight="1">
      <c r="A717" s="28" t="s">
        <v>229</v>
      </c>
      <c r="B717" s="28" t="s">
        <v>222</v>
      </c>
      <c r="C717" s="28" t="s">
        <v>222</v>
      </c>
      <c r="D717" s="28" t="str">
        <f>VLOOKUP(Table1[[#This Row],[Point of Origin]],Table2[#All],2,0)</f>
        <v>Japan</v>
      </c>
      <c r="E717" s="28" t="str">
        <f>VLOOKUP(Table1[[#This Row],[Point of Origin]],Table2[#All],3,0)</f>
        <v>International</v>
      </c>
      <c r="F717" s="28" t="s">
        <v>82</v>
      </c>
      <c r="G717" s="21" t="s">
        <v>20</v>
      </c>
      <c r="H717" s="22">
        <v>31</v>
      </c>
      <c r="I717" s="22">
        <f>Table1[[#This Row],[Total Weight Imported (lbs)]]*0.453592</f>
        <v>14.061351999999999</v>
      </c>
      <c r="J717" s="23">
        <f>74+120+54</f>
        <v>248</v>
      </c>
      <c r="K717" s="41"/>
    </row>
    <row r="718" spans="1:11" ht="15.75" customHeight="1">
      <c r="A718" s="28" t="s">
        <v>229</v>
      </c>
      <c r="B718" s="28" t="s">
        <v>222</v>
      </c>
      <c r="C718" s="28" t="s">
        <v>222</v>
      </c>
      <c r="D718" s="28" t="str">
        <f>VLOOKUP(Table1[[#This Row],[Point of Origin]],Table2[#All],2,0)</f>
        <v>Japan</v>
      </c>
      <c r="E718" s="28" t="str">
        <f>VLOOKUP(Table1[[#This Row],[Point of Origin]],Table2[#All],3,0)</f>
        <v>International</v>
      </c>
      <c r="F718" s="28" t="s">
        <v>38</v>
      </c>
      <c r="G718" s="21" t="s">
        <v>39</v>
      </c>
      <c r="H718" s="22">
        <v>59</v>
      </c>
      <c r="I718" s="22">
        <f>Table1[[#This Row],[Total Weight Imported (lbs)]]*0.453592</f>
        <v>26.761928000000001</v>
      </c>
      <c r="J718" s="23">
        <v>1038</v>
      </c>
      <c r="K718" s="41"/>
    </row>
    <row r="719" spans="1:11" ht="15.75" customHeight="1">
      <c r="A719" s="28" t="s">
        <v>229</v>
      </c>
      <c r="B719" s="28" t="s">
        <v>222</v>
      </c>
      <c r="C719" s="28" t="s">
        <v>222</v>
      </c>
      <c r="D719" s="28" t="str">
        <f>VLOOKUP(Table1[[#This Row],[Point of Origin]],Table2[#All],2,0)</f>
        <v>Japan</v>
      </c>
      <c r="E719" s="28" t="str">
        <f>VLOOKUP(Table1[[#This Row],[Point of Origin]],Table2[#All],3,0)</f>
        <v>International</v>
      </c>
      <c r="F719" s="56" t="s">
        <v>23</v>
      </c>
      <c r="G719" s="21" t="s">
        <v>24</v>
      </c>
      <c r="H719" s="22">
        <v>44</v>
      </c>
      <c r="I719" s="22">
        <f>Table1[[#This Row],[Total Weight Imported (lbs)]]*0.453592</f>
        <v>19.958047999999998</v>
      </c>
      <c r="J719" s="23">
        <f>171+54</f>
        <v>225</v>
      </c>
      <c r="K719" s="41"/>
    </row>
    <row r="720" spans="1:11" ht="15.75" customHeight="1">
      <c r="A720" s="27" t="s">
        <v>230</v>
      </c>
      <c r="B720" s="27" t="s">
        <v>222</v>
      </c>
      <c r="C720" s="27" t="s">
        <v>222</v>
      </c>
      <c r="D720" s="20" t="str">
        <f>VLOOKUP(Table1[[#This Row],[Point of Origin]],Table2[#All],2,0)</f>
        <v>Japan</v>
      </c>
      <c r="E720" s="20" t="str">
        <f>VLOOKUP(Table1[[#This Row],[Point of Origin]],Table2[#All],3,0)</f>
        <v>International</v>
      </c>
      <c r="F720" s="56" t="s">
        <v>23</v>
      </c>
      <c r="G720" s="21" t="s">
        <v>24</v>
      </c>
      <c r="H720" s="22">
        <v>73</v>
      </c>
      <c r="I720" s="22">
        <f>Table1[[#This Row],[Total Weight Imported (lbs)]]*0.453592</f>
        <v>33.112215999999997</v>
      </c>
      <c r="J720" s="23">
        <v>564.36</v>
      </c>
      <c r="K720" s="41"/>
    </row>
    <row r="721" spans="1:11" ht="15.75" customHeight="1">
      <c r="A721" s="27" t="s">
        <v>230</v>
      </c>
      <c r="B721" s="27" t="s">
        <v>222</v>
      </c>
      <c r="C721" s="27" t="s">
        <v>222</v>
      </c>
      <c r="D721" s="20" t="str">
        <f>VLOOKUP(Table1[[#This Row],[Point of Origin]],Table2[#All],2,0)</f>
        <v>Japan</v>
      </c>
      <c r="E721" s="20" t="str">
        <f>VLOOKUP(Table1[[#This Row],[Point of Origin]],Table2[#All],3,0)</f>
        <v>International</v>
      </c>
      <c r="F721" s="20" t="s">
        <v>38</v>
      </c>
      <c r="G721" s="21" t="s">
        <v>39</v>
      </c>
      <c r="H721" s="22">
        <v>86</v>
      </c>
      <c r="I721" s="22">
        <f>Table1[[#This Row],[Total Weight Imported (lbs)]]*0.453592</f>
        <v>39.008912000000002</v>
      </c>
      <c r="J721" s="23">
        <f>609.84+173.41</f>
        <v>783.25</v>
      </c>
      <c r="K721" s="41"/>
    </row>
    <row r="722" spans="1:11" ht="15.75" customHeight="1">
      <c r="A722" s="27" t="s">
        <v>230</v>
      </c>
      <c r="B722" s="27" t="s">
        <v>222</v>
      </c>
      <c r="C722" s="27" t="s">
        <v>222</v>
      </c>
      <c r="D722" s="20" t="str">
        <f>VLOOKUP(Table1[[#This Row],[Point of Origin]],Table2[#All],2,0)</f>
        <v>Japan</v>
      </c>
      <c r="E722" s="20" t="str">
        <f>VLOOKUP(Table1[[#This Row],[Point of Origin]],Table2[#All],3,0)</f>
        <v>International</v>
      </c>
      <c r="F722" s="20" t="s">
        <v>36</v>
      </c>
      <c r="G722" s="21" t="s">
        <v>37</v>
      </c>
      <c r="H722" s="22">
        <v>7</v>
      </c>
      <c r="I722" s="22">
        <f>Table1[[#This Row],[Total Weight Imported (lbs)]]*0.453592</f>
        <v>3.175144</v>
      </c>
      <c r="J722" s="23">
        <v>66.239999999999995</v>
      </c>
      <c r="K722" s="1"/>
    </row>
    <row r="723" spans="1:11" ht="15.75" customHeight="1">
      <c r="A723" s="27" t="s">
        <v>230</v>
      </c>
      <c r="B723" s="27" t="s">
        <v>222</v>
      </c>
      <c r="C723" s="27" t="s">
        <v>222</v>
      </c>
      <c r="D723" s="20" t="str">
        <f>VLOOKUP(Table1[[#This Row],[Point of Origin]],Table2[#All],2,0)</f>
        <v>Japan</v>
      </c>
      <c r="E723" s="20" t="str">
        <f>VLOOKUP(Table1[[#This Row],[Point of Origin]],Table2[#All],3,0)</f>
        <v>International</v>
      </c>
      <c r="F723" s="20" t="s">
        <v>81</v>
      </c>
      <c r="G723" s="21" t="s">
        <v>62</v>
      </c>
      <c r="H723" s="22">
        <v>6</v>
      </c>
      <c r="I723" s="22">
        <f>Table1[[#This Row],[Total Weight Imported (lbs)]]*0.453592</f>
        <v>2.721552</v>
      </c>
      <c r="J723" s="23">
        <v>90.64</v>
      </c>
      <c r="K723" s="41"/>
    </row>
    <row r="724" spans="1:11" ht="15.75" customHeight="1">
      <c r="A724" s="27" t="s">
        <v>230</v>
      </c>
      <c r="B724" s="27" t="s">
        <v>222</v>
      </c>
      <c r="C724" s="27" t="s">
        <v>222</v>
      </c>
      <c r="D724" s="20" t="str">
        <f>VLOOKUP(Table1[[#This Row],[Point of Origin]],Table2[#All],2,0)</f>
        <v>Japan</v>
      </c>
      <c r="E724" s="20" t="str">
        <f>VLOOKUP(Table1[[#This Row],[Point of Origin]],Table2[#All],3,0)</f>
        <v>International</v>
      </c>
      <c r="F724" s="20" t="s">
        <v>84</v>
      </c>
      <c r="G724" s="21" t="s">
        <v>85</v>
      </c>
      <c r="H724" s="22">
        <v>26</v>
      </c>
      <c r="I724" s="22">
        <f>Table1[[#This Row],[Total Weight Imported (lbs)]]*0.453592</f>
        <v>11.793392000000001</v>
      </c>
      <c r="J724" s="23">
        <v>173.04</v>
      </c>
      <c r="K724" s="1"/>
    </row>
    <row r="725" spans="1:11" ht="15.75" customHeight="1">
      <c r="A725" s="28" t="s">
        <v>231</v>
      </c>
      <c r="B725" s="28" t="s">
        <v>116</v>
      </c>
      <c r="C725" s="28" t="s">
        <v>116</v>
      </c>
      <c r="D725" s="28" t="str">
        <f>VLOOKUP(Table1[[#This Row],[Point of Origin]],Table2[#All],2,0)</f>
        <v>South Korea</v>
      </c>
      <c r="E725" s="28" t="str">
        <f>VLOOKUP(Table1[[#This Row],[Point of Origin]],Table2[#All],3,0)</f>
        <v>International</v>
      </c>
      <c r="F725" s="28" t="s">
        <v>59</v>
      </c>
      <c r="G725" s="21" t="s">
        <v>60</v>
      </c>
      <c r="H725" s="22">
        <v>88</v>
      </c>
      <c r="I725" s="22">
        <f>Table1[[#This Row],[Total Weight Imported (lbs)]]*0.453592</f>
        <v>39.916095999999996</v>
      </c>
      <c r="J725" s="23">
        <f>90+33.34</f>
        <v>123.34</v>
      </c>
      <c r="K725" s="41"/>
    </row>
    <row r="726" spans="1:11" ht="15.75" customHeight="1">
      <c r="A726" s="28" t="s">
        <v>231</v>
      </c>
      <c r="B726" s="28" t="s">
        <v>116</v>
      </c>
      <c r="C726" s="28" t="s">
        <v>116</v>
      </c>
      <c r="D726" s="28" t="str">
        <f>VLOOKUP(Table1[[#This Row],[Point of Origin]],Table2[#All],2,0)</f>
        <v>South Korea</v>
      </c>
      <c r="E726" s="28" t="str">
        <f>VLOOKUP(Table1[[#This Row],[Point of Origin]],Table2[#All],3,0)</f>
        <v>International</v>
      </c>
      <c r="F726" s="28" t="s">
        <v>50</v>
      </c>
      <c r="G726" s="21" t="s">
        <v>51</v>
      </c>
      <c r="H726" s="22">
        <v>68</v>
      </c>
      <c r="I726" s="22">
        <f>Table1[[#This Row],[Total Weight Imported (lbs)]]*0.453592</f>
        <v>30.844256000000001</v>
      </c>
      <c r="J726" s="23">
        <f>43.34+8.35</f>
        <v>51.690000000000005</v>
      </c>
      <c r="K726" s="41"/>
    </row>
    <row r="727" spans="1:11" ht="15.75" customHeight="1">
      <c r="A727" s="28" t="s">
        <v>231</v>
      </c>
      <c r="B727" s="28" t="s">
        <v>116</v>
      </c>
      <c r="C727" s="28" t="s">
        <v>116</v>
      </c>
      <c r="D727" s="28" t="str">
        <f>VLOOKUP(Table1[[#This Row],[Point of Origin]],Table2[#All],2,0)</f>
        <v>South Korea</v>
      </c>
      <c r="E727" s="28" t="str">
        <f>VLOOKUP(Table1[[#This Row],[Point of Origin]],Table2[#All],3,0)</f>
        <v>International</v>
      </c>
      <c r="F727" s="28" t="s">
        <v>82</v>
      </c>
      <c r="G727" s="21" t="s">
        <v>20</v>
      </c>
      <c r="H727" s="22">
        <v>33</v>
      </c>
      <c r="I727" s="22">
        <f>Table1[[#This Row],[Total Weight Imported (lbs)]]*0.453592</f>
        <v>14.968536</v>
      </c>
      <c r="J727" s="23">
        <v>17.489999999999998</v>
      </c>
      <c r="K727" s="41"/>
    </row>
    <row r="728" spans="1:11" ht="15.75" customHeight="1">
      <c r="A728" s="28" t="s">
        <v>231</v>
      </c>
      <c r="B728" s="28" t="s">
        <v>116</v>
      </c>
      <c r="C728" s="28" t="s">
        <v>116</v>
      </c>
      <c r="D728" s="28" t="str">
        <f>VLOOKUP(Table1[[#This Row],[Point of Origin]],Table2[#All],2,0)</f>
        <v>South Korea</v>
      </c>
      <c r="E728" s="28" t="str">
        <f>VLOOKUP(Table1[[#This Row],[Point of Origin]],Table2[#All],3,0)</f>
        <v>International</v>
      </c>
      <c r="F728" s="28" t="s">
        <v>36</v>
      </c>
      <c r="G728" s="21" t="s">
        <v>37</v>
      </c>
      <c r="H728" s="22">
        <v>66</v>
      </c>
      <c r="I728" s="22">
        <f>Table1[[#This Row],[Total Weight Imported (lbs)]]*0.453592</f>
        <v>29.937072000000001</v>
      </c>
      <c r="J728" s="23">
        <f>36.68+48.34</f>
        <v>85.02000000000001</v>
      </c>
      <c r="K728" s="1"/>
    </row>
    <row r="729" spans="1:11" ht="15.75" customHeight="1">
      <c r="A729" s="28" t="s">
        <v>231</v>
      </c>
      <c r="B729" s="28" t="s">
        <v>116</v>
      </c>
      <c r="C729" s="28" t="s">
        <v>116</v>
      </c>
      <c r="D729" s="28" t="str">
        <f>VLOOKUP(Table1[[#This Row],[Point of Origin]],Table2[#All],2,0)</f>
        <v>South Korea</v>
      </c>
      <c r="E729" s="28" t="str">
        <f>VLOOKUP(Table1[[#This Row],[Point of Origin]],Table2[#All],3,0)</f>
        <v>International</v>
      </c>
      <c r="F729" s="28" t="s">
        <v>81</v>
      </c>
      <c r="G729" s="21" t="s">
        <v>62</v>
      </c>
      <c r="H729" s="22">
        <v>24</v>
      </c>
      <c r="I729" s="22">
        <f>Table1[[#This Row],[Total Weight Imported (lbs)]]*0.453592</f>
        <v>10.886208</v>
      </c>
      <c r="J729" s="23">
        <v>56.67</v>
      </c>
      <c r="K729" s="41"/>
    </row>
    <row r="730" spans="1:11" ht="15.75" customHeight="1">
      <c r="A730" s="28" t="s">
        <v>231</v>
      </c>
      <c r="B730" s="28" t="s">
        <v>116</v>
      </c>
      <c r="C730" s="28" t="s">
        <v>116</v>
      </c>
      <c r="D730" s="28" t="str">
        <f>VLOOKUP(Table1[[#This Row],[Point of Origin]],Table2[#All],2,0)</f>
        <v>South Korea</v>
      </c>
      <c r="E730" s="28" t="str">
        <f>VLOOKUP(Table1[[#This Row],[Point of Origin]],Table2[#All],3,0)</f>
        <v>International</v>
      </c>
      <c r="F730" s="28" t="s">
        <v>63</v>
      </c>
      <c r="G730" s="21" t="s">
        <v>64</v>
      </c>
      <c r="H730" s="22">
        <v>46</v>
      </c>
      <c r="I730" s="22">
        <f>Table1[[#This Row],[Total Weight Imported (lbs)]]*0.453592</f>
        <v>20.865231999999999</v>
      </c>
      <c r="J730" s="23">
        <v>67.5</v>
      </c>
      <c r="K730" s="1"/>
    </row>
    <row r="731" spans="1:11" ht="15.75" customHeight="1">
      <c r="A731" s="28" t="s">
        <v>231</v>
      </c>
      <c r="B731" s="28" t="s">
        <v>116</v>
      </c>
      <c r="C731" s="28" t="s">
        <v>116</v>
      </c>
      <c r="D731" s="28" t="str">
        <f>VLOOKUP(Table1[[#This Row],[Point of Origin]],Table2[#All],2,0)</f>
        <v>South Korea</v>
      </c>
      <c r="E731" s="28" t="str">
        <f>VLOOKUP(Table1[[#This Row],[Point of Origin]],Table2[#All],3,0)</f>
        <v>International</v>
      </c>
      <c r="F731" s="28" t="s">
        <v>128</v>
      </c>
      <c r="G731" s="21" t="s">
        <v>129</v>
      </c>
      <c r="H731" s="22">
        <v>44</v>
      </c>
      <c r="I731" s="22">
        <f>Table1[[#This Row],[Total Weight Imported (lbs)]]*0.453592</f>
        <v>19.958047999999998</v>
      </c>
      <c r="J731" s="23">
        <v>48.34</v>
      </c>
      <c r="K731" s="41"/>
    </row>
    <row r="732" spans="1:11" ht="15.75" customHeight="1">
      <c r="A732" s="28" t="s">
        <v>231</v>
      </c>
      <c r="B732" s="28" t="s">
        <v>116</v>
      </c>
      <c r="C732" s="28" t="s">
        <v>116</v>
      </c>
      <c r="D732" s="28" t="str">
        <f>VLOOKUP(Table1[[#This Row],[Point of Origin]],Table2[#All],2,0)</f>
        <v>South Korea</v>
      </c>
      <c r="E732" s="28" t="str">
        <f>VLOOKUP(Table1[[#This Row],[Point of Origin]],Table2[#All],3,0)</f>
        <v>International</v>
      </c>
      <c r="F732" s="28" t="s">
        <v>84</v>
      </c>
      <c r="G732" s="21" t="s">
        <v>85</v>
      </c>
      <c r="H732" s="22">
        <v>13</v>
      </c>
      <c r="I732" s="22">
        <f>Table1[[#This Row],[Total Weight Imported (lbs)]]*0.453592</f>
        <v>5.8966960000000004</v>
      </c>
      <c r="J732" s="23">
        <v>15</v>
      </c>
      <c r="K732" s="1"/>
    </row>
    <row r="733" spans="1:11" ht="15.75" customHeight="1">
      <c r="A733" s="28" t="s">
        <v>231</v>
      </c>
      <c r="B733" s="28" t="s">
        <v>116</v>
      </c>
      <c r="C733" s="28" t="s">
        <v>116</v>
      </c>
      <c r="D733" s="28" t="str">
        <f>VLOOKUP(Table1[[#This Row],[Point of Origin]],Table2[#All],2,0)</f>
        <v>South Korea</v>
      </c>
      <c r="E733" s="28" t="str">
        <f>VLOOKUP(Table1[[#This Row],[Point of Origin]],Table2[#All],3,0)</f>
        <v>International</v>
      </c>
      <c r="F733" s="56" t="s">
        <v>23</v>
      </c>
      <c r="G733" s="21" t="s">
        <v>24</v>
      </c>
      <c r="H733" s="22">
        <v>26</v>
      </c>
      <c r="I733" s="22">
        <f>Table1[[#This Row],[Total Weight Imported (lbs)]]*0.453592</f>
        <v>11.793392000000001</v>
      </c>
      <c r="J733" s="23">
        <v>35</v>
      </c>
      <c r="K733" s="41"/>
    </row>
    <row r="734" spans="1:11" ht="15.75" customHeight="1">
      <c r="A734" s="28" t="s">
        <v>231</v>
      </c>
      <c r="B734" s="28" t="s">
        <v>116</v>
      </c>
      <c r="C734" s="28" t="s">
        <v>116</v>
      </c>
      <c r="D734" s="28" t="str">
        <f>VLOOKUP(Table1[[#This Row],[Point of Origin]],Table2[#All],2,0)</f>
        <v>South Korea</v>
      </c>
      <c r="E734" s="28" t="str">
        <f>VLOOKUP(Table1[[#This Row],[Point of Origin]],Table2[#All],3,0)</f>
        <v>International</v>
      </c>
      <c r="F734" s="28" t="s">
        <v>38</v>
      </c>
      <c r="G734" s="21" t="s">
        <v>39</v>
      </c>
      <c r="H734" s="22">
        <v>132</v>
      </c>
      <c r="I734" s="22">
        <f>Table1[[#This Row],[Total Weight Imported (lbs)]]*0.453592</f>
        <v>59.874144000000001</v>
      </c>
      <c r="J734" s="23">
        <v>500</v>
      </c>
      <c r="K734" s="41"/>
    </row>
    <row r="735" spans="1:11" ht="15.75" customHeight="1">
      <c r="A735" s="28" t="s">
        <v>231</v>
      </c>
      <c r="B735" s="28" t="s">
        <v>116</v>
      </c>
      <c r="C735" s="28" t="s">
        <v>116</v>
      </c>
      <c r="D735" s="28" t="str">
        <f>VLOOKUP(Table1[[#This Row],[Point of Origin]],Table2[#All],2,0)</f>
        <v>South Korea</v>
      </c>
      <c r="E735" s="28" t="str">
        <f>VLOOKUP(Table1[[#This Row],[Point of Origin]],Table2[#All],3,0)</f>
        <v>International</v>
      </c>
      <c r="F735" s="36" t="s">
        <v>176</v>
      </c>
      <c r="G735" s="21" t="s">
        <v>131</v>
      </c>
      <c r="H735" s="22">
        <v>46</v>
      </c>
      <c r="I735" s="22">
        <f>Table1[[#This Row],[Total Weight Imported (lbs)]]*0.453592</f>
        <v>20.865231999999999</v>
      </c>
      <c r="J735" s="23">
        <f>25+16.67</f>
        <v>41.67</v>
      </c>
      <c r="K735" s="1"/>
    </row>
    <row r="736" spans="1:11" ht="15.75" customHeight="1">
      <c r="A736" s="28" t="s">
        <v>231</v>
      </c>
      <c r="B736" s="28" t="s">
        <v>116</v>
      </c>
      <c r="C736" s="28" t="s">
        <v>116</v>
      </c>
      <c r="D736" s="28" t="str">
        <f>VLOOKUP(Table1[[#This Row],[Point of Origin]],Table2[#All],2,0)</f>
        <v>South Korea</v>
      </c>
      <c r="E736" s="28" t="str">
        <f>VLOOKUP(Table1[[#This Row],[Point of Origin]],Table2[#All],3,0)</f>
        <v>International</v>
      </c>
      <c r="F736" s="36" t="s">
        <v>119</v>
      </c>
      <c r="G736" s="21" t="s">
        <v>120</v>
      </c>
      <c r="H736" s="22">
        <v>22</v>
      </c>
      <c r="I736" s="22">
        <f>Table1[[#This Row],[Total Weight Imported (lbs)]]*0.453592</f>
        <v>9.979023999999999</v>
      </c>
      <c r="J736" s="23">
        <v>26.66</v>
      </c>
      <c r="K736" s="1"/>
    </row>
    <row r="737" spans="1:11" ht="15.75" customHeight="1">
      <c r="A737" s="28" t="s">
        <v>231</v>
      </c>
      <c r="B737" s="28" t="s">
        <v>116</v>
      </c>
      <c r="C737" s="28" t="s">
        <v>116</v>
      </c>
      <c r="D737" s="28" t="str">
        <f>VLOOKUP(Table1[[#This Row],[Point of Origin]],Table2[#All],2,0)</f>
        <v>South Korea</v>
      </c>
      <c r="E737" s="28" t="str">
        <f>VLOOKUP(Table1[[#This Row],[Point of Origin]],Table2[#All],3,0)</f>
        <v>International</v>
      </c>
      <c r="F737" s="36" t="s">
        <v>58</v>
      </c>
      <c r="G737" s="21" t="s">
        <v>34</v>
      </c>
      <c r="H737" s="22">
        <v>44</v>
      </c>
      <c r="I737" s="22">
        <f>Table1[[#This Row],[Total Weight Imported (lbs)]]*0.453592</f>
        <v>19.958047999999998</v>
      </c>
      <c r="J737" s="23">
        <v>41.66</v>
      </c>
      <c r="K737" s="1"/>
    </row>
    <row r="738" spans="1:11" ht="15.75" customHeight="1">
      <c r="A738" s="27" t="s">
        <v>232</v>
      </c>
      <c r="B738" s="27" t="s">
        <v>116</v>
      </c>
      <c r="C738" s="27" t="s">
        <v>116</v>
      </c>
      <c r="D738" s="20" t="str">
        <f>VLOOKUP(Table1[[#This Row],[Point of Origin]],Table2[#All],2,0)</f>
        <v>South Korea</v>
      </c>
      <c r="E738" s="20" t="str">
        <f>VLOOKUP(Table1[[#This Row],[Point of Origin]],Table2[#All],3,0)</f>
        <v>International</v>
      </c>
      <c r="F738" s="56" t="s">
        <v>23</v>
      </c>
      <c r="G738" s="21" t="s">
        <v>24</v>
      </c>
      <c r="H738" s="22">
        <v>22</v>
      </c>
      <c r="I738" s="22">
        <f>Table1[[#This Row],[Total Weight Imported (lbs)]]*0.453592</f>
        <v>9.979023999999999</v>
      </c>
      <c r="J738" s="23">
        <v>65</v>
      </c>
      <c r="K738" s="41"/>
    </row>
    <row r="739" spans="1:11" ht="15.75" customHeight="1">
      <c r="A739" s="27" t="s">
        <v>232</v>
      </c>
      <c r="B739" s="27" t="s">
        <v>116</v>
      </c>
      <c r="C739" s="27" t="s">
        <v>116</v>
      </c>
      <c r="D739" s="20" t="str">
        <f>VLOOKUP(Table1[[#This Row],[Point of Origin]],Table2[#All],2,0)</f>
        <v>South Korea</v>
      </c>
      <c r="E739" s="20" t="str">
        <f>VLOOKUP(Table1[[#This Row],[Point of Origin]],Table2[#All],3,0)</f>
        <v>International</v>
      </c>
      <c r="F739" s="20" t="s">
        <v>81</v>
      </c>
      <c r="G739" s="21" t="s">
        <v>62</v>
      </c>
      <c r="H739" s="22">
        <v>9</v>
      </c>
      <c r="I739" s="22">
        <f>Table1[[#This Row],[Total Weight Imported (lbs)]]*0.453592</f>
        <v>4.0823280000000004</v>
      </c>
      <c r="J739" s="23">
        <v>44</v>
      </c>
      <c r="K739" s="41"/>
    </row>
    <row r="740" spans="1:11" ht="15.75" customHeight="1">
      <c r="A740" s="27" t="s">
        <v>232</v>
      </c>
      <c r="B740" s="27" t="s">
        <v>116</v>
      </c>
      <c r="C740" s="27" t="s">
        <v>116</v>
      </c>
      <c r="D740" s="20" t="str">
        <f>VLOOKUP(Table1[[#This Row],[Point of Origin]],Table2[#All],2,0)</f>
        <v>South Korea</v>
      </c>
      <c r="E740" s="20" t="str">
        <f>VLOOKUP(Table1[[#This Row],[Point of Origin]],Table2[#All],3,0)</f>
        <v>International</v>
      </c>
      <c r="F740" s="20" t="s">
        <v>130</v>
      </c>
      <c r="G740" s="21" t="s">
        <v>131</v>
      </c>
      <c r="H740" s="22">
        <v>18</v>
      </c>
      <c r="I740" s="22">
        <f>Table1[[#This Row],[Total Weight Imported (lbs)]]*0.453592</f>
        <v>8.1646560000000008</v>
      </c>
      <c r="J740" s="23">
        <v>50</v>
      </c>
      <c r="K740" s="1"/>
    </row>
    <row r="741" spans="1:11" ht="15.75" customHeight="1">
      <c r="A741" s="28" t="s">
        <v>233</v>
      </c>
      <c r="B741" s="28" t="s">
        <v>116</v>
      </c>
      <c r="C741" s="28" t="s">
        <v>116</v>
      </c>
      <c r="D741" s="28" t="str">
        <f>VLOOKUP(Table1[[#This Row],[Point of Origin]],Table2[#All],2,0)</f>
        <v>South Korea</v>
      </c>
      <c r="E741" s="28" t="str">
        <f>VLOOKUP(Table1[[#This Row],[Point of Origin]],Table2[#All],3,0)</f>
        <v>International</v>
      </c>
      <c r="F741" s="36" t="s">
        <v>119</v>
      </c>
      <c r="G741" s="21" t="s">
        <v>120</v>
      </c>
      <c r="H741" s="22">
        <v>1653</v>
      </c>
      <c r="I741" s="22">
        <f>Table1[[#This Row],[Total Weight Imported (lbs)]]*0.453592</f>
        <v>749.78757599999994</v>
      </c>
      <c r="J741" s="23">
        <f>800+1800</f>
        <v>2600</v>
      </c>
      <c r="K741" s="1"/>
    </row>
    <row r="742" spans="1:11" ht="15.75" customHeight="1">
      <c r="A742" s="28" t="s">
        <v>233</v>
      </c>
      <c r="B742" s="28" t="s">
        <v>116</v>
      </c>
      <c r="C742" s="28" t="s">
        <v>116</v>
      </c>
      <c r="D742" s="28" t="str">
        <f>VLOOKUP(Table1[[#This Row],[Point of Origin]],Table2[#All],2,0)</f>
        <v>South Korea</v>
      </c>
      <c r="E742" s="28" t="str">
        <f>VLOOKUP(Table1[[#This Row],[Point of Origin]],Table2[#All],3,0)</f>
        <v>International</v>
      </c>
      <c r="F742" s="28" t="s">
        <v>40</v>
      </c>
      <c r="G742" s="21" t="s">
        <v>41</v>
      </c>
      <c r="H742" s="22">
        <v>441</v>
      </c>
      <c r="I742" s="22">
        <f>Table1[[#This Row],[Total Weight Imported (lbs)]]*0.453592</f>
        <v>200.03407200000001</v>
      </c>
      <c r="J742" s="23">
        <v>880</v>
      </c>
      <c r="K742" s="41"/>
    </row>
    <row r="743" spans="1:11" ht="15.75" customHeight="1">
      <c r="A743" s="28" t="s">
        <v>233</v>
      </c>
      <c r="B743" s="28" t="s">
        <v>116</v>
      </c>
      <c r="C743" s="28" t="s">
        <v>116</v>
      </c>
      <c r="D743" s="28" t="str">
        <f>VLOOKUP(Table1[[#This Row],[Point of Origin]],Table2[#All],2,0)</f>
        <v>South Korea</v>
      </c>
      <c r="E743" s="28" t="str">
        <f>VLOOKUP(Table1[[#This Row],[Point of Origin]],Table2[#All],3,0)</f>
        <v>International</v>
      </c>
      <c r="F743" s="36" t="s">
        <v>228</v>
      </c>
      <c r="G743" s="21" t="s">
        <v>127</v>
      </c>
      <c r="H743" s="22">
        <v>353</v>
      </c>
      <c r="I743" s="22">
        <f>Table1[[#This Row],[Total Weight Imported (lbs)]]*0.453592</f>
        <v>160.117976</v>
      </c>
      <c r="J743" s="23">
        <v>512</v>
      </c>
      <c r="K743" s="1"/>
    </row>
    <row r="744" spans="1:11" ht="15.75" customHeight="1">
      <c r="A744" s="28" t="s">
        <v>233</v>
      </c>
      <c r="B744" s="28" t="s">
        <v>116</v>
      </c>
      <c r="C744" s="28" t="s">
        <v>116</v>
      </c>
      <c r="D744" s="28" t="str">
        <f>VLOOKUP(Table1[[#This Row],[Point of Origin]],Table2[#All],2,0)</f>
        <v>South Korea</v>
      </c>
      <c r="E744" s="28" t="str">
        <f>VLOOKUP(Table1[[#This Row],[Point of Origin]],Table2[#All],3,0)</f>
        <v>International</v>
      </c>
      <c r="F744" s="28" t="s">
        <v>59</v>
      </c>
      <c r="G744" s="21" t="s">
        <v>60</v>
      </c>
      <c r="H744" s="22">
        <v>70</v>
      </c>
      <c r="I744" s="22">
        <f>Table1[[#This Row],[Total Weight Imported (lbs)]]*0.453592</f>
        <v>31.751439999999999</v>
      </c>
      <c r="J744" s="23">
        <f>132+108+108</f>
        <v>348</v>
      </c>
      <c r="K744" s="41"/>
    </row>
    <row r="745" spans="1:11" ht="15.75" customHeight="1">
      <c r="A745" s="28" t="s">
        <v>233</v>
      </c>
      <c r="B745" s="28" t="s">
        <v>116</v>
      </c>
      <c r="C745" s="28" t="s">
        <v>116</v>
      </c>
      <c r="D745" s="28" t="str">
        <f>VLOOKUP(Table1[[#This Row],[Point of Origin]],Table2[#All],2,0)</f>
        <v>South Korea</v>
      </c>
      <c r="E745" s="28" t="str">
        <f>VLOOKUP(Table1[[#This Row],[Point of Origin]],Table2[#All],3,0)</f>
        <v>International</v>
      </c>
      <c r="F745" s="28" t="s">
        <v>36</v>
      </c>
      <c r="G745" s="21" t="s">
        <v>37</v>
      </c>
      <c r="H745" s="22">
        <v>73</v>
      </c>
      <c r="I745" s="22">
        <f>Table1[[#This Row],[Total Weight Imported (lbs)]]*0.453592</f>
        <v>33.112215999999997</v>
      </c>
      <c r="J745" s="23">
        <f>48+52+22</f>
        <v>122</v>
      </c>
      <c r="K745" s="1"/>
    </row>
    <row r="746" spans="1:11" ht="15.75" customHeight="1">
      <c r="A746" s="28" t="s">
        <v>233</v>
      </c>
      <c r="B746" s="28" t="s">
        <v>116</v>
      </c>
      <c r="C746" s="28" t="s">
        <v>116</v>
      </c>
      <c r="D746" s="28" t="str">
        <f>VLOOKUP(Table1[[#This Row],[Point of Origin]],Table2[#All],2,0)</f>
        <v>South Korea</v>
      </c>
      <c r="E746" s="28" t="str">
        <f>VLOOKUP(Table1[[#This Row],[Point of Origin]],Table2[#All],3,0)</f>
        <v>International</v>
      </c>
      <c r="F746" s="36" t="s">
        <v>63</v>
      </c>
      <c r="G746" s="21" t="s">
        <v>64</v>
      </c>
      <c r="H746" s="22">
        <v>110</v>
      </c>
      <c r="I746" s="22">
        <f>Table1[[#This Row],[Total Weight Imported (lbs)]]*0.453592</f>
        <v>49.895119999999999</v>
      </c>
      <c r="J746" s="23">
        <v>180</v>
      </c>
      <c r="K746" s="1"/>
    </row>
    <row r="747" spans="1:11" ht="15.75" customHeight="1">
      <c r="A747" s="28" t="s">
        <v>233</v>
      </c>
      <c r="B747" s="28" t="s">
        <v>116</v>
      </c>
      <c r="C747" s="28" t="s">
        <v>116</v>
      </c>
      <c r="D747" s="28" t="str">
        <f>VLOOKUP(Table1[[#This Row],[Point of Origin]],Table2[#All],2,0)</f>
        <v>South Korea</v>
      </c>
      <c r="E747" s="28" t="str">
        <f>VLOOKUP(Table1[[#This Row],[Point of Origin]],Table2[#All],3,0)</f>
        <v>International</v>
      </c>
      <c r="F747" s="28" t="s">
        <v>81</v>
      </c>
      <c r="G747" s="21" t="s">
        <v>62</v>
      </c>
      <c r="H747" s="22">
        <v>58</v>
      </c>
      <c r="I747" s="22">
        <f>Table1[[#This Row],[Total Weight Imported (lbs)]]*0.453592</f>
        <v>26.308336000000001</v>
      </c>
      <c r="J747" s="23">
        <f>88+56+160+168</f>
        <v>472</v>
      </c>
      <c r="K747" s="41"/>
    </row>
    <row r="748" spans="1:11" ht="15.75" customHeight="1">
      <c r="A748" s="28" t="s">
        <v>233</v>
      </c>
      <c r="B748" s="28" t="s">
        <v>116</v>
      </c>
      <c r="C748" s="28" t="s">
        <v>116</v>
      </c>
      <c r="D748" s="28" t="str">
        <f>VLOOKUP(Table1[[#This Row],[Point of Origin]],Table2[#All],2,0)</f>
        <v>South Korea</v>
      </c>
      <c r="E748" s="28" t="str">
        <f>VLOOKUP(Table1[[#This Row],[Point of Origin]],Table2[#All],3,0)</f>
        <v>International</v>
      </c>
      <c r="F748" s="36" t="s">
        <v>96</v>
      </c>
      <c r="G748" s="21" t="s">
        <v>97</v>
      </c>
      <c r="H748" s="22">
        <f>99</f>
        <v>99</v>
      </c>
      <c r="I748" s="22">
        <f>Table1[[#This Row],[Total Weight Imported (lbs)]]*0.453592</f>
        <v>44.905608000000001</v>
      </c>
      <c r="J748" s="23">
        <v>172</v>
      </c>
      <c r="K748" s="1"/>
    </row>
    <row r="749" spans="1:11" ht="15.75" customHeight="1">
      <c r="A749" s="28" t="s">
        <v>233</v>
      </c>
      <c r="B749" s="28" t="s">
        <v>116</v>
      </c>
      <c r="C749" s="28" t="s">
        <v>116</v>
      </c>
      <c r="D749" s="28" t="str">
        <f>VLOOKUP(Table1[[#This Row],[Point of Origin]],Table2[#All],2,0)</f>
        <v>South Korea</v>
      </c>
      <c r="E749" s="28" t="str">
        <f>VLOOKUP(Table1[[#This Row],[Point of Origin]],Table2[#All],3,0)</f>
        <v>International</v>
      </c>
      <c r="F749" s="28" t="s">
        <v>128</v>
      </c>
      <c r="G749" s="21" t="s">
        <v>129</v>
      </c>
      <c r="H749" s="22">
        <v>282</v>
      </c>
      <c r="I749" s="22">
        <f>Table1[[#This Row],[Total Weight Imported (lbs)]]*0.453592</f>
        <v>127.912944</v>
      </c>
      <c r="J749" s="23">
        <f>704</f>
        <v>704</v>
      </c>
      <c r="K749" s="41"/>
    </row>
    <row r="750" spans="1:11" ht="15.75" customHeight="1">
      <c r="A750" s="28" t="s">
        <v>233</v>
      </c>
      <c r="B750" s="28" t="s">
        <v>116</v>
      </c>
      <c r="C750" s="28" t="s">
        <v>116</v>
      </c>
      <c r="D750" s="28" t="str">
        <f>VLOOKUP(Table1[[#This Row],[Point of Origin]],Table2[#All],2,0)</f>
        <v>South Korea</v>
      </c>
      <c r="E750" s="28" t="str">
        <f>VLOOKUP(Table1[[#This Row],[Point of Origin]],Table2[#All],3,0)</f>
        <v>International</v>
      </c>
      <c r="F750" s="36" t="s">
        <v>58</v>
      </c>
      <c r="G750" s="21" t="s">
        <v>34</v>
      </c>
      <c r="H750" s="22">
        <v>661</v>
      </c>
      <c r="I750" s="22">
        <f>Table1[[#This Row],[Total Weight Imported (lbs)]]*0.453592</f>
        <v>299.82431200000002</v>
      </c>
      <c r="J750" s="23">
        <v>1120</v>
      </c>
      <c r="K750" s="1"/>
    </row>
    <row r="751" spans="1:11" ht="15.75" customHeight="1">
      <c r="A751" s="28" t="s">
        <v>233</v>
      </c>
      <c r="B751" s="28" t="s">
        <v>116</v>
      </c>
      <c r="C751" s="28" t="s">
        <v>116</v>
      </c>
      <c r="D751" s="28" t="str">
        <f>VLOOKUP(Table1[[#This Row],[Point of Origin]],Table2[#All],2,0)</f>
        <v>South Korea</v>
      </c>
      <c r="E751" s="28" t="str">
        <f>VLOOKUP(Table1[[#This Row],[Point of Origin]],Table2[#All],3,0)</f>
        <v>International</v>
      </c>
      <c r="F751" s="28" t="s">
        <v>124</v>
      </c>
      <c r="G751" s="21" t="s">
        <v>30</v>
      </c>
      <c r="H751" s="22">
        <v>66</v>
      </c>
      <c r="I751" s="22">
        <f>Table1[[#This Row],[Total Weight Imported (lbs)]]*0.453592</f>
        <v>29.937072000000001</v>
      </c>
      <c r="J751" s="23">
        <v>96</v>
      </c>
      <c r="K751" s="41"/>
    </row>
    <row r="752" spans="1:11" ht="15.75" customHeight="1">
      <c r="A752" s="28" t="s">
        <v>233</v>
      </c>
      <c r="B752" s="28" t="s">
        <v>116</v>
      </c>
      <c r="C752" s="28" t="s">
        <v>116</v>
      </c>
      <c r="D752" s="28" t="str">
        <f>VLOOKUP(Table1[[#This Row],[Point of Origin]],Table2[#All],2,0)</f>
        <v>South Korea</v>
      </c>
      <c r="E752" s="28" t="str">
        <f>VLOOKUP(Table1[[#This Row],[Point of Origin]],Table2[#All],3,0)</f>
        <v>International</v>
      </c>
      <c r="F752" s="28" t="s">
        <v>50</v>
      </c>
      <c r="G752" s="21" t="s">
        <v>51</v>
      </c>
      <c r="H752" s="22">
        <v>66</v>
      </c>
      <c r="I752" s="22">
        <f>Table1[[#This Row],[Total Weight Imported (lbs)]]*0.453592</f>
        <v>29.937072000000001</v>
      </c>
      <c r="J752" s="23">
        <v>320</v>
      </c>
      <c r="K752" s="41"/>
    </row>
    <row r="753" spans="1:11" ht="15.75" customHeight="1">
      <c r="A753" s="28" t="s">
        <v>233</v>
      </c>
      <c r="B753" s="28" t="s">
        <v>116</v>
      </c>
      <c r="C753" s="28" t="s">
        <v>116</v>
      </c>
      <c r="D753" s="28" t="str">
        <f>VLOOKUP(Table1[[#This Row],[Point of Origin]],Table2[#All],2,0)</f>
        <v>South Korea</v>
      </c>
      <c r="E753" s="28" t="str">
        <f>VLOOKUP(Table1[[#This Row],[Point of Origin]],Table2[#All],3,0)</f>
        <v>International</v>
      </c>
      <c r="F753" s="28" t="s">
        <v>154</v>
      </c>
      <c r="G753" s="21" t="s">
        <v>155</v>
      </c>
      <c r="H753" s="22">
        <v>79</v>
      </c>
      <c r="I753" s="22">
        <f>Table1[[#This Row],[Total Weight Imported (lbs)]]*0.453592</f>
        <v>35.833767999999999</v>
      </c>
      <c r="J753" s="23">
        <v>182.16</v>
      </c>
      <c r="K753" s="1"/>
    </row>
    <row r="754" spans="1:11" ht="15.75" customHeight="1">
      <c r="A754" s="28" t="s">
        <v>233</v>
      </c>
      <c r="B754" s="28" t="s">
        <v>116</v>
      </c>
      <c r="C754" s="28" t="s">
        <v>116</v>
      </c>
      <c r="D754" s="28" t="str">
        <f>VLOOKUP(Table1[[#This Row],[Point of Origin]],Table2[#All],2,0)</f>
        <v>South Korea</v>
      </c>
      <c r="E754" s="28" t="str">
        <f>VLOOKUP(Table1[[#This Row],[Point of Origin]],Table2[#All],3,0)</f>
        <v>International</v>
      </c>
      <c r="F754" s="28" t="s">
        <v>121</v>
      </c>
      <c r="G754" s="21" t="s">
        <v>122</v>
      </c>
      <c r="H754" s="22">
        <v>106</v>
      </c>
      <c r="I754" s="22">
        <f>Table1[[#This Row],[Total Weight Imported (lbs)]]*0.453592</f>
        <v>48.080751999999997</v>
      </c>
      <c r="J754" s="23">
        <v>211.2</v>
      </c>
      <c r="K754" s="1"/>
    </row>
    <row r="755" spans="1:11" ht="15.75" customHeight="1">
      <c r="A755" s="28" t="s">
        <v>233</v>
      </c>
      <c r="B755" s="28" t="s">
        <v>116</v>
      </c>
      <c r="C755" s="28" t="s">
        <v>116</v>
      </c>
      <c r="D755" s="28" t="str">
        <f>VLOOKUP(Table1[[#This Row],[Point of Origin]],Table2[#All],2,0)</f>
        <v>South Korea</v>
      </c>
      <c r="E755" s="28" t="str">
        <f>VLOOKUP(Table1[[#This Row],[Point of Origin]],Table2[#All],3,0)</f>
        <v>International</v>
      </c>
      <c r="F755" s="28" t="s">
        <v>130</v>
      </c>
      <c r="G755" s="21" t="s">
        <v>131</v>
      </c>
      <c r="H755" s="22">
        <v>3968</v>
      </c>
      <c r="I755" s="22">
        <f>Table1[[#This Row],[Total Weight Imported (lbs)]]*0.453592</f>
        <v>1799.8530559999999</v>
      </c>
      <c r="J755" s="23">
        <f>6000+2080</f>
        <v>8080</v>
      </c>
      <c r="K755" s="1"/>
    </row>
    <row r="756" spans="1:11" ht="15.75" customHeight="1">
      <c r="A756" s="27" t="s">
        <v>234</v>
      </c>
      <c r="B756" s="27" t="s">
        <v>116</v>
      </c>
      <c r="C756" s="27" t="s">
        <v>116</v>
      </c>
      <c r="D756" s="20" t="str">
        <f>VLOOKUP(Table1[[#This Row],[Point of Origin]],Table2[#All],2,0)</f>
        <v>South Korea</v>
      </c>
      <c r="E756" s="20" t="str">
        <f>VLOOKUP(Table1[[#This Row],[Point of Origin]],Table2[#All],3,0)</f>
        <v>International</v>
      </c>
      <c r="F756" s="27" t="s">
        <v>119</v>
      </c>
      <c r="G756" s="21" t="s">
        <v>120</v>
      </c>
      <c r="H756" s="22">
        <v>13349</v>
      </c>
      <c r="I756" s="22">
        <f>Table1[[#This Row],[Total Weight Imported (lbs)]]*0.453592</f>
        <v>6054.9996080000001</v>
      </c>
      <c r="J756" s="23">
        <v>20683.84</v>
      </c>
      <c r="K756" s="1"/>
    </row>
    <row r="757" spans="1:11" ht="15.75" customHeight="1">
      <c r="A757" s="28" t="s">
        <v>235</v>
      </c>
      <c r="B757" s="28" t="s">
        <v>116</v>
      </c>
      <c r="C757" s="28" t="s">
        <v>116</v>
      </c>
      <c r="D757" s="28" t="str">
        <f>VLOOKUP(Table1[[#This Row],[Point of Origin]],Table2[#All],2,0)</f>
        <v>South Korea</v>
      </c>
      <c r="E757" s="28" t="str">
        <f>VLOOKUP(Table1[[#This Row],[Point of Origin]],Table2[#All],3,0)</f>
        <v>International</v>
      </c>
      <c r="F757" s="28" t="s">
        <v>38</v>
      </c>
      <c r="G757" s="21" t="s">
        <v>39</v>
      </c>
      <c r="H757" s="22">
        <v>514</v>
      </c>
      <c r="I757" s="22">
        <f>Table1[[#This Row],[Total Weight Imported (lbs)]]*0.453592</f>
        <v>233.146288</v>
      </c>
      <c r="J757" s="23">
        <f>880.2+570.25</f>
        <v>1450.45</v>
      </c>
      <c r="K757" s="41"/>
    </row>
    <row r="758" spans="1:11" ht="15.75" customHeight="1">
      <c r="A758" s="28" t="s">
        <v>235</v>
      </c>
      <c r="B758" s="28" t="s">
        <v>116</v>
      </c>
      <c r="C758" s="28" t="s">
        <v>116</v>
      </c>
      <c r="D758" s="28" t="str">
        <f>VLOOKUP(Table1[[#This Row],[Point of Origin]],Table2[#All],2,0)</f>
        <v>South Korea</v>
      </c>
      <c r="E758" s="28" t="str">
        <f>VLOOKUP(Table1[[#This Row],[Point of Origin]],Table2[#All],3,0)</f>
        <v>International</v>
      </c>
      <c r="F758" s="28" t="s">
        <v>121</v>
      </c>
      <c r="G758" s="21" t="s">
        <v>122</v>
      </c>
      <c r="H758" s="22">
        <v>66</v>
      </c>
      <c r="I758" s="22">
        <f>Table1[[#This Row],[Total Weight Imported (lbs)]]*0.453592</f>
        <v>29.937072000000001</v>
      </c>
      <c r="J758" s="23">
        <v>130.4</v>
      </c>
      <c r="K758" s="1"/>
    </row>
    <row r="759" spans="1:11" ht="15.75" customHeight="1">
      <c r="A759" s="28" t="s">
        <v>235</v>
      </c>
      <c r="B759" s="28" t="s">
        <v>116</v>
      </c>
      <c r="C759" s="28" t="s">
        <v>116</v>
      </c>
      <c r="D759" s="28" t="str">
        <f>VLOOKUP(Table1[[#This Row],[Point of Origin]],Table2[#All],2,0)</f>
        <v>South Korea</v>
      </c>
      <c r="E759" s="28" t="str">
        <f>VLOOKUP(Table1[[#This Row],[Point of Origin]],Table2[#All],3,0)</f>
        <v>International</v>
      </c>
      <c r="F759" s="28" t="s">
        <v>154</v>
      </c>
      <c r="G759" s="21" t="s">
        <v>155</v>
      </c>
      <c r="H759" s="22">
        <v>75</v>
      </c>
      <c r="I759" s="22">
        <f>Table1[[#This Row],[Total Weight Imported (lbs)]]*0.453592</f>
        <v>34.019399999999997</v>
      </c>
      <c r="J759" s="23">
        <f>205</f>
        <v>205</v>
      </c>
      <c r="K759" s="1"/>
    </row>
    <row r="760" spans="1:11" ht="15.75" customHeight="1">
      <c r="A760" s="28" t="s">
        <v>235</v>
      </c>
      <c r="B760" s="28" t="s">
        <v>116</v>
      </c>
      <c r="C760" s="28" t="s">
        <v>116</v>
      </c>
      <c r="D760" s="28" t="str">
        <f>VLOOKUP(Table1[[#This Row],[Point of Origin]],Table2[#All],2,0)</f>
        <v>South Korea</v>
      </c>
      <c r="E760" s="28" t="str">
        <f>VLOOKUP(Table1[[#This Row],[Point of Origin]],Table2[#All],3,0)</f>
        <v>International</v>
      </c>
      <c r="F760" s="36" t="s">
        <v>119</v>
      </c>
      <c r="G760" s="21" t="s">
        <v>120</v>
      </c>
      <c r="H760" s="22">
        <v>827</v>
      </c>
      <c r="I760" s="22">
        <f>Table1[[#This Row],[Total Weight Imported (lbs)]]*0.453592</f>
        <v>375.12058400000001</v>
      </c>
      <c r="J760" s="23">
        <f>815+210</f>
        <v>1025</v>
      </c>
      <c r="K760" s="1"/>
    </row>
    <row r="761" spans="1:11" ht="15.75" customHeight="1">
      <c r="A761" s="28" t="s">
        <v>235</v>
      </c>
      <c r="B761" s="28" t="s">
        <v>116</v>
      </c>
      <c r="C761" s="28" t="s">
        <v>116</v>
      </c>
      <c r="D761" s="28" t="str">
        <f>VLOOKUP(Table1[[#This Row],[Point of Origin]],Table2[#All],2,0)</f>
        <v>South Korea</v>
      </c>
      <c r="E761" s="28" t="str">
        <f>VLOOKUP(Table1[[#This Row],[Point of Origin]],Table2[#All],3,0)</f>
        <v>International</v>
      </c>
      <c r="F761" s="36" t="s">
        <v>71</v>
      </c>
      <c r="G761" s="21" t="s">
        <v>72</v>
      </c>
      <c r="H761" s="22">
        <v>1323</v>
      </c>
      <c r="I761" s="22">
        <f>Table1[[#This Row],[Total Weight Imported (lbs)]]*0.453592</f>
        <v>600.102216</v>
      </c>
      <c r="J761" s="23">
        <v>2400</v>
      </c>
      <c r="K761" s="41"/>
    </row>
    <row r="762" spans="1:11" ht="15.75" customHeight="1">
      <c r="A762" s="28" t="s">
        <v>235</v>
      </c>
      <c r="B762" s="28" t="s">
        <v>116</v>
      </c>
      <c r="C762" s="28" t="s">
        <v>116</v>
      </c>
      <c r="D762" s="28" t="str">
        <f>VLOOKUP(Table1[[#This Row],[Point of Origin]],Table2[#All],2,0)</f>
        <v>South Korea</v>
      </c>
      <c r="E762" s="28" t="str">
        <f>VLOOKUP(Table1[[#This Row],[Point of Origin]],Table2[#All],3,0)</f>
        <v>International</v>
      </c>
      <c r="F762" s="36" t="s">
        <v>176</v>
      </c>
      <c r="G762" s="21" t="s">
        <v>131</v>
      </c>
      <c r="H762" s="22">
        <v>220</v>
      </c>
      <c r="I762" s="22">
        <f>Table1[[#This Row],[Total Weight Imported (lbs)]]*0.453592</f>
        <v>99.790239999999997</v>
      </c>
      <c r="J762" s="23">
        <v>293.39999999999998</v>
      </c>
      <c r="K762" s="1"/>
    </row>
    <row r="763" spans="1:11" ht="15.75" customHeight="1">
      <c r="A763" s="28" t="s">
        <v>235</v>
      </c>
      <c r="B763" s="28" t="s">
        <v>116</v>
      </c>
      <c r="C763" s="28" t="s">
        <v>116</v>
      </c>
      <c r="D763" s="28" t="str">
        <f>VLOOKUP(Table1[[#This Row],[Point of Origin]],Table2[#All],2,0)</f>
        <v>South Korea</v>
      </c>
      <c r="E763" s="28" t="str">
        <f>VLOOKUP(Table1[[#This Row],[Point of Origin]],Table2[#All],3,0)</f>
        <v>International</v>
      </c>
      <c r="F763" s="36" t="s">
        <v>158</v>
      </c>
      <c r="G763" s="21" t="s">
        <v>127</v>
      </c>
      <c r="H763" s="22">
        <v>547</v>
      </c>
      <c r="I763" s="22">
        <f>Table1[[#This Row],[Total Weight Imported (lbs)]]*0.453592</f>
        <v>248.114824</v>
      </c>
      <c r="J763" s="23">
        <v>496</v>
      </c>
      <c r="K763" s="41"/>
    </row>
    <row r="764" spans="1:11" ht="15.75" customHeight="1">
      <c r="A764" s="28" t="s">
        <v>235</v>
      </c>
      <c r="B764" s="28" t="s">
        <v>116</v>
      </c>
      <c r="C764" s="28" t="s">
        <v>116</v>
      </c>
      <c r="D764" s="28" t="str">
        <f>VLOOKUP(Table1[[#This Row],[Point of Origin]],Table2[#All],2,0)</f>
        <v>South Korea</v>
      </c>
      <c r="E764" s="28" t="str">
        <f>VLOOKUP(Table1[[#This Row],[Point of Origin]],Table2[#All],3,0)</f>
        <v>International</v>
      </c>
      <c r="F764" s="28" t="s">
        <v>36</v>
      </c>
      <c r="G764" s="21" t="s">
        <v>37</v>
      </c>
      <c r="H764" s="22">
        <v>212</v>
      </c>
      <c r="I764" s="22">
        <f>Table1[[#This Row],[Total Weight Imported (lbs)]]*0.453592</f>
        <v>96.161503999999994</v>
      </c>
      <c r="J764" s="23">
        <f>17.79+26.4+29.04+50.78+141+29+53.28</f>
        <v>347.28999999999996</v>
      </c>
      <c r="K764" s="1"/>
    </row>
    <row r="765" spans="1:11" ht="15.75" customHeight="1">
      <c r="A765" s="28" t="s">
        <v>235</v>
      </c>
      <c r="B765" s="28" t="s">
        <v>116</v>
      </c>
      <c r="C765" s="28" t="s">
        <v>116</v>
      </c>
      <c r="D765" s="28" t="str">
        <f>VLOOKUP(Table1[[#This Row],[Point of Origin]],Table2[#All],2,0)</f>
        <v>South Korea</v>
      </c>
      <c r="E765" s="28" t="str">
        <f>VLOOKUP(Table1[[#This Row],[Point of Origin]],Table2[#All],3,0)</f>
        <v>International</v>
      </c>
      <c r="F765" s="28" t="s">
        <v>81</v>
      </c>
      <c r="G765" s="21" t="s">
        <v>62</v>
      </c>
      <c r="H765" s="22">
        <v>331</v>
      </c>
      <c r="I765" s="22">
        <f>Table1[[#This Row],[Total Weight Imported (lbs)]]*0.453592</f>
        <v>150.13895199999999</v>
      </c>
      <c r="J765" s="23">
        <f>293.32+195.54+293.31+154.8+227.31</f>
        <v>1164.28</v>
      </c>
      <c r="K765" s="41"/>
    </row>
    <row r="766" spans="1:11" ht="15.75" customHeight="1">
      <c r="A766" s="28" t="s">
        <v>235</v>
      </c>
      <c r="B766" s="28" t="s">
        <v>116</v>
      </c>
      <c r="C766" s="28" t="s">
        <v>116</v>
      </c>
      <c r="D766" s="28" t="str">
        <f>VLOOKUP(Table1[[#This Row],[Point of Origin]],Table2[#All],2,0)</f>
        <v>South Korea</v>
      </c>
      <c r="E766" s="28" t="str">
        <f>VLOOKUP(Table1[[#This Row],[Point of Origin]],Table2[#All],3,0)</f>
        <v>International</v>
      </c>
      <c r="F766" s="28" t="s">
        <v>82</v>
      </c>
      <c r="G766" s="21" t="s">
        <v>20</v>
      </c>
      <c r="H766" s="22">
        <f>939+18+9</f>
        <v>966</v>
      </c>
      <c r="I766" s="22">
        <f>Table1[[#This Row],[Total Weight Imported (lbs)]]*0.453592</f>
        <v>438.169872</v>
      </c>
      <c r="J766" s="23">
        <f>864+219.6+37.48+28.52+16.3+45.62</f>
        <v>1211.5199999999998</v>
      </c>
      <c r="K766" s="41"/>
    </row>
    <row r="767" spans="1:11" ht="15.75" customHeight="1">
      <c r="A767" s="28" t="s">
        <v>235</v>
      </c>
      <c r="B767" s="28" t="s">
        <v>116</v>
      </c>
      <c r="C767" s="28" t="s">
        <v>116</v>
      </c>
      <c r="D767" s="28" t="str">
        <f>VLOOKUP(Table1[[#This Row],[Point of Origin]],Table2[#All],2,0)</f>
        <v>South Korea</v>
      </c>
      <c r="E767" s="28" t="str">
        <f>VLOOKUP(Table1[[#This Row],[Point of Origin]],Table2[#All],3,0)</f>
        <v>International</v>
      </c>
      <c r="F767" s="28" t="s">
        <v>40</v>
      </c>
      <c r="G767" s="21" t="s">
        <v>41</v>
      </c>
      <c r="H767" s="22">
        <v>4409</v>
      </c>
      <c r="I767" s="22">
        <f>Table1[[#This Row],[Total Weight Imported (lbs)]]*0.453592</f>
        <v>1999.8871280000001</v>
      </c>
      <c r="J767" s="23">
        <v>1792</v>
      </c>
      <c r="K767" s="41"/>
    </row>
    <row r="768" spans="1:11" ht="15.75" customHeight="1">
      <c r="A768" s="28" t="s">
        <v>235</v>
      </c>
      <c r="B768" s="28" t="s">
        <v>116</v>
      </c>
      <c r="C768" s="28" t="s">
        <v>116</v>
      </c>
      <c r="D768" s="28" t="str">
        <f>VLOOKUP(Table1[[#This Row],[Point of Origin]],Table2[#All],2,0)</f>
        <v>South Korea</v>
      </c>
      <c r="E768" s="28" t="str">
        <f>VLOOKUP(Table1[[#This Row],[Point of Origin]],Table2[#All],3,0)</f>
        <v>International</v>
      </c>
      <c r="F768" s="36" t="s">
        <v>96</v>
      </c>
      <c r="G768" s="21" t="s">
        <v>97</v>
      </c>
      <c r="H768" s="22">
        <v>265</v>
      </c>
      <c r="I768" s="22">
        <f>Table1[[#This Row],[Total Weight Imported (lbs)]]*0.453592</f>
        <v>120.20188</v>
      </c>
      <c r="J768" s="23">
        <f>342.15</f>
        <v>342.15</v>
      </c>
      <c r="K768" s="1"/>
    </row>
    <row r="769" spans="1:11" ht="15.75" customHeight="1">
      <c r="A769" s="28" t="s">
        <v>235</v>
      </c>
      <c r="B769" s="28" t="s">
        <v>116</v>
      </c>
      <c r="C769" s="28" t="s">
        <v>116</v>
      </c>
      <c r="D769" s="28" t="str">
        <f>VLOOKUP(Table1[[#This Row],[Point of Origin]],Table2[#All],2,0)</f>
        <v>South Korea</v>
      </c>
      <c r="E769" s="28" t="str">
        <f>VLOOKUP(Table1[[#This Row],[Point of Origin]],Table2[#All],3,0)</f>
        <v>International</v>
      </c>
      <c r="F769" s="36" t="s">
        <v>227</v>
      </c>
      <c r="G769" s="21" t="s">
        <v>64</v>
      </c>
      <c r="H769" s="22">
        <v>220</v>
      </c>
      <c r="I769" s="22">
        <f>Table1[[#This Row],[Total Weight Imported (lbs)]]*0.453592</f>
        <v>99.790239999999997</v>
      </c>
      <c r="J769" s="23">
        <v>142.5</v>
      </c>
      <c r="K769" s="41"/>
    </row>
    <row r="770" spans="1:11" ht="15.75" customHeight="1">
      <c r="A770" s="28" t="s">
        <v>235</v>
      </c>
      <c r="B770" s="28" t="s">
        <v>116</v>
      </c>
      <c r="C770" s="28" t="s">
        <v>116</v>
      </c>
      <c r="D770" s="28" t="str">
        <f>VLOOKUP(Table1[[#This Row],[Point of Origin]],Table2[#All],2,0)</f>
        <v>South Korea</v>
      </c>
      <c r="E770" s="28" t="str">
        <f>VLOOKUP(Table1[[#This Row],[Point of Origin]],Table2[#All],3,0)</f>
        <v>International</v>
      </c>
      <c r="F770" s="36" t="s">
        <v>63</v>
      </c>
      <c r="G770" s="21" t="s">
        <v>64</v>
      </c>
      <c r="H770" s="22">
        <v>88</v>
      </c>
      <c r="I770" s="22">
        <f>Table1[[#This Row],[Total Weight Imported (lbs)]]*0.453592</f>
        <v>39.916095999999996</v>
      </c>
      <c r="J770" s="23">
        <v>89.62</v>
      </c>
      <c r="K770" s="1"/>
    </row>
    <row r="771" spans="1:11" ht="15.75" customHeight="1">
      <c r="A771" s="28" t="s">
        <v>235</v>
      </c>
      <c r="B771" s="28" t="s">
        <v>116</v>
      </c>
      <c r="C771" s="28" t="s">
        <v>116</v>
      </c>
      <c r="D771" s="28" t="str">
        <f>VLOOKUP(Table1[[#This Row],[Point of Origin]],Table2[#All],2,0)</f>
        <v>South Korea</v>
      </c>
      <c r="E771" s="28" t="str">
        <f>VLOOKUP(Table1[[#This Row],[Point of Origin]],Table2[#All],3,0)</f>
        <v>International</v>
      </c>
      <c r="F771" s="28" t="s">
        <v>54</v>
      </c>
      <c r="G771" s="21" t="s">
        <v>30</v>
      </c>
      <c r="H771" s="22">
        <v>1102</v>
      </c>
      <c r="I771" s="22">
        <f>Table1[[#This Row],[Total Weight Imported (lbs)]]*0.453592</f>
        <v>499.858384</v>
      </c>
      <c r="J771" s="23">
        <v>708.6</v>
      </c>
      <c r="K771" s="41"/>
    </row>
    <row r="772" spans="1:11" ht="15.75" customHeight="1">
      <c r="A772" s="28" t="s">
        <v>235</v>
      </c>
      <c r="B772" s="28" t="s">
        <v>116</v>
      </c>
      <c r="C772" s="28" t="s">
        <v>116</v>
      </c>
      <c r="D772" s="28" t="str">
        <f>VLOOKUP(Table1[[#This Row],[Point of Origin]],Table2[#All],2,0)</f>
        <v>South Korea</v>
      </c>
      <c r="E772" s="28" t="str">
        <f>VLOOKUP(Table1[[#This Row],[Point of Origin]],Table2[#All],3,0)</f>
        <v>International</v>
      </c>
      <c r="F772" s="28" t="s">
        <v>128</v>
      </c>
      <c r="G772" s="21" t="s">
        <v>129</v>
      </c>
      <c r="H772" s="22">
        <v>562</v>
      </c>
      <c r="I772" s="22">
        <f>Table1[[#This Row],[Total Weight Imported (lbs)]]*0.453592</f>
        <v>254.91870399999999</v>
      </c>
      <c r="J772" s="23">
        <f>675+219</f>
        <v>894</v>
      </c>
      <c r="K772" s="41"/>
    </row>
    <row r="773" spans="1:11" ht="15.75" customHeight="1">
      <c r="A773" s="28" t="s">
        <v>235</v>
      </c>
      <c r="B773" s="28" t="s">
        <v>116</v>
      </c>
      <c r="C773" s="28" t="s">
        <v>116</v>
      </c>
      <c r="D773" s="28" t="str">
        <f>VLOOKUP(Table1[[#This Row],[Point of Origin]],Table2[#All],2,0)</f>
        <v>South Korea</v>
      </c>
      <c r="E773" s="28" t="str">
        <f>VLOOKUP(Table1[[#This Row],[Point of Origin]],Table2[#All],3,0)</f>
        <v>International</v>
      </c>
      <c r="F773" s="28" t="s">
        <v>76</v>
      </c>
      <c r="G773" s="21" t="s">
        <v>77</v>
      </c>
      <c r="H773" s="22">
        <v>75</v>
      </c>
      <c r="I773" s="22">
        <f>Table1[[#This Row],[Total Weight Imported (lbs)]]*0.453592</f>
        <v>34.019399999999997</v>
      </c>
      <c r="J773" s="23">
        <v>115.5</v>
      </c>
      <c r="K773" s="1"/>
    </row>
    <row r="774" spans="1:11" ht="15.75" customHeight="1">
      <c r="A774" s="27" t="s">
        <v>236</v>
      </c>
      <c r="B774" s="27" t="s">
        <v>116</v>
      </c>
      <c r="C774" s="27" t="s">
        <v>116</v>
      </c>
      <c r="D774" s="20" t="str">
        <f>VLOOKUP(Table1[[#This Row],[Point of Origin]],Table2[#All],2,0)</f>
        <v>South Korea</v>
      </c>
      <c r="E774" s="20" t="str">
        <f>VLOOKUP(Table1[[#This Row],[Point of Origin]],Table2[#All],3,0)</f>
        <v>International</v>
      </c>
      <c r="F774" s="20" t="s">
        <v>40</v>
      </c>
      <c r="G774" s="21" t="s">
        <v>41</v>
      </c>
      <c r="H774" s="22">
        <v>17637</v>
      </c>
      <c r="I774" s="22">
        <f>Table1[[#This Row],[Total Weight Imported (lbs)]]*0.453592</f>
        <v>8000.0021040000001</v>
      </c>
      <c r="J774" s="23">
        <v>8488</v>
      </c>
      <c r="K774" s="41"/>
    </row>
    <row r="775" spans="1:11" ht="15.75" customHeight="1">
      <c r="A775" s="27" t="s">
        <v>236</v>
      </c>
      <c r="B775" s="27" t="s">
        <v>116</v>
      </c>
      <c r="C775" s="27" t="s">
        <v>116</v>
      </c>
      <c r="D775" s="20" t="str">
        <f>VLOOKUP(Table1[[#This Row],[Point of Origin]],Table2[#All],2,0)</f>
        <v>South Korea</v>
      </c>
      <c r="E775" s="20" t="str">
        <f>VLOOKUP(Table1[[#This Row],[Point of Origin]],Table2[#All],3,0)</f>
        <v>International</v>
      </c>
      <c r="F775" s="20" t="s">
        <v>36</v>
      </c>
      <c r="G775" s="21" t="s">
        <v>37</v>
      </c>
      <c r="H775" s="22">
        <v>794</v>
      </c>
      <c r="I775" s="22">
        <f>Table1[[#This Row],[Total Weight Imported (lbs)]]*0.453592</f>
        <v>360.15204799999998</v>
      </c>
      <c r="J775" s="23">
        <v>1766.4</v>
      </c>
      <c r="K775" s="1"/>
    </row>
    <row r="776" spans="1:11" ht="15.75" customHeight="1">
      <c r="A776" s="27" t="s">
        <v>236</v>
      </c>
      <c r="B776" s="27" t="s">
        <v>116</v>
      </c>
      <c r="C776" s="27" t="s">
        <v>116</v>
      </c>
      <c r="D776" s="20" t="str">
        <f>VLOOKUP(Table1[[#This Row],[Point of Origin]],Table2[#All],2,0)</f>
        <v>South Korea</v>
      </c>
      <c r="E776" s="20" t="str">
        <f>VLOOKUP(Table1[[#This Row],[Point of Origin]],Table2[#All],3,0)</f>
        <v>International</v>
      </c>
      <c r="F776" s="20" t="s">
        <v>82</v>
      </c>
      <c r="G776" s="21" t="s">
        <v>20</v>
      </c>
      <c r="H776" s="22">
        <v>2646</v>
      </c>
      <c r="I776" s="22">
        <f>Table1[[#This Row],[Total Weight Imported (lbs)]]*0.453592</f>
        <v>1200.204432</v>
      </c>
      <c r="J776" s="23">
        <v>2649</v>
      </c>
      <c r="K776" s="41"/>
    </row>
    <row r="777" spans="1:11" ht="15.75" customHeight="1">
      <c r="A777" s="27" t="s">
        <v>236</v>
      </c>
      <c r="B777" s="27" t="s">
        <v>116</v>
      </c>
      <c r="C777" s="27" t="s">
        <v>116</v>
      </c>
      <c r="D777" s="20" t="str">
        <f>VLOOKUP(Table1[[#This Row],[Point of Origin]],Table2[#All],2,0)</f>
        <v>South Korea</v>
      </c>
      <c r="E777" s="20" t="str">
        <f>VLOOKUP(Table1[[#This Row],[Point of Origin]],Table2[#All],3,0)</f>
        <v>International</v>
      </c>
      <c r="F777" s="20" t="s">
        <v>54</v>
      </c>
      <c r="G777" s="21" t="s">
        <v>30</v>
      </c>
      <c r="H777" s="22">
        <v>3307</v>
      </c>
      <c r="I777" s="22">
        <f>Table1[[#This Row],[Total Weight Imported (lbs)]]*0.453592</f>
        <v>1500.028744</v>
      </c>
      <c r="J777" s="23">
        <v>3892</v>
      </c>
      <c r="K777" s="41"/>
    </row>
    <row r="778" spans="1:11" ht="15.75" customHeight="1">
      <c r="A778" s="28" t="s">
        <v>237</v>
      </c>
      <c r="B778" s="28" t="s">
        <v>116</v>
      </c>
      <c r="C778" s="28" t="s">
        <v>116</v>
      </c>
      <c r="D778" s="28" t="str">
        <f>VLOOKUP(Table1[[#This Row],[Point of Origin]],Table2[#All],2,0)</f>
        <v>South Korea</v>
      </c>
      <c r="E778" s="28" t="str">
        <f>VLOOKUP(Table1[[#This Row],[Point of Origin]],Table2[#All],3,0)</f>
        <v>International</v>
      </c>
      <c r="F778" s="28" t="s">
        <v>54</v>
      </c>
      <c r="G778" s="21" t="s">
        <v>30</v>
      </c>
      <c r="H778" s="22">
        <v>8818</v>
      </c>
      <c r="I778" s="22">
        <f>Table1[[#This Row],[Total Weight Imported (lbs)]]*0.453592</f>
        <v>3999.7742560000002</v>
      </c>
      <c r="J778" s="23">
        <v>5400</v>
      </c>
      <c r="K778" s="41"/>
    </row>
    <row r="779" spans="1:11" ht="15.75" customHeight="1">
      <c r="A779" s="28" t="s">
        <v>237</v>
      </c>
      <c r="B779" s="28" t="s">
        <v>116</v>
      </c>
      <c r="C779" s="28" t="s">
        <v>116</v>
      </c>
      <c r="D779" s="28" t="str">
        <f>VLOOKUP(Table1[[#This Row],[Point of Origin]],Table2[#All],2,0)</f>
        <v>South Korea</v>
      </c>
      <c r="E779" s="28" t="str">
        <f>VLOOKUP(Table1[[#This Row],[Point of Origin]],Table2[#All],3,0)</f>
        <v>International</v>
      </c>
      <c r="F779" s="36" t="s">
        <v>71</v>
      </c>
      <c r="G779" s="21" t="s">
        <v>72</v>
      </c>
      <c r="H779" s="22">
        <v>661</v>
      </c>
      <c r="I779" s="22">
        <f>Table1[[#This Row],[Total Weight Imported (lbs)]]*0.453592</f>
        <v>299.82431200000002</v>
      </c>
      <c r="J779" s="23">
        <v>1550</v>
      </c>
      <c r="K779" s="41"/>
    </row>
    <row r="780" spans="1:11" ht="15.75" customHeight="1">
      <c r="A780" s="28" t="s">
        <v>237</v>
      </c>
      <c r="B780" s="28" t="s">
        <v>116</v>
      </c>
      <c r="C780" s="28" t="s">
        <v>116</v>
      </c>
      <c r="D780" s="28" t="str">
        <f>VLOOKUP(Table1[[#This Row],[Point of Origin]],Table2[#All],2,0)</f>
        <v>South Korea</v>
      </c>
      <c r="E780" s="28" t="str">
        <f>VLOOKUP(Table1[[#This Row],[Point of Origin]],Table2[#All],3,0)</f>
        <v>International</v>
      </c>
      <c r="F780" s="28" t="s">
        <v>82</v>
      </c>
      <c r="G780" s="21" t="s">
        <v>20</v>
      </c>
      <c r="H780" s="22">
        <v>7716</v>
      </c>
      <c r="I780" s="22">
        <f>Table1[[#This Row],[Total Weight Imported (lbs)]]*0.453592</f>
        <v>3499.915872</v>
      </c>
      <c r="J780" s="23">
        <v>6300</v>
      </c>
      <c r="K780" s="41"/>
    </row>
    <row r="781" spans="1:11" ht="15.75" customHeight="1">
      <c r="A781" s="27" t="s">
        <v>238</v>
      </c>
      <c r="B781" s="27" t="s">
        <v>116</v>
      </c>
      <c r="C781" s="27" t="s">
        <v>116</v>
      </c>
      <c r="D781" s="20" t="str">
        <f>VLOOKUP(Table1[[#This Row],[Point of Origin]],Table2[#All],2,0)</f>
        <v>South Korea</v>
      </c>
      <c r="E781" s="20" t="str">
        <f>VLOOKUP(Table1[[#This Row],[Point of Origin]],Table2[#All],3,0)</f>
        <v>International</v>
      </c>
      <c r="F781" s="20" t="s">
        <v>76</v>
      </c>
      <c r="G781" s="21" t="s">
        <v>77</v>
      </c>
      <c r="H781" s="22">
        <v>75</v>
      </c>
      <c r="I781" s="22">
        <f>Table1[[#This Row],[Total Weight Imported (lbs)]]*0.453592</f>
        <v>34.019399999999997</v>
      </c>
      <c r="J781" s="23">
        <v>115.5</v>
      </c>
      <c r="K781" s="1"/>
    </row>
    <row r="782" spans="1:11" ht="15.75" customHeight="1">
      <c r="A782" s="27" t="s">
        <v>238</v>
      </c>
      <c r="B782" s="27" t="s">
        <v>116</v>
      </c>
      <c r="C782" s="27" t="s">
        <v>116</v>
      </c>
      <c r="D782" s="20" t="str">
        <f>VLOOKUP(Table1[[#This Row],[Point of Origin]],Table2[#All],2,0)</f>
        <v>South Korea</v>
      </c>
      <c r="E782" s="20" t="str">
        <f>VLOOKUP(Table1[[#This Row],[Point of Origin]],Table2[#All],3,0)</f>
        <v>International</v>
      </c>
      <c r="F782" s="27" t="s">
        <v>102</v>
      </c>
      <c r="G782" s="21" t="s">
        <v>32</v>
      </c>
      <c r="H782" s="22">
        <v>11</v>
      </c>
      <c r="I782" s="22">
        <f>Table1[[#This Row],[Total Weight Imported (lbs)]]*0.453592</f>
        <v>4.9895119999999995</v>
      </c>
      <c r="J782" s="23">
        <f>20.95+43.08</f>
        <v>64.03</v>
      </c>
      <c r="K782" s="41"/>
    </row>
    <row r="783" spans="1:11" ht="15.75" customHeight="1">
      <c r="A783" s="27" t="s">
        <v>238</v>
      </c>
      <c r="B783" s="27" t="s">
        <v>116</v>
      </c>
      <c r="C783" s="27" t="s">
        <v>116</v>
      </c>
      <c r="D783" s="20" t="str">
        <f>VLOOKUP(Table1[[#This Row],[Point of Origin]],Table2[#All],2,0)</f>
        <v>South Korea</v>
      </c>
      <c r="E783" s="20" t="str">
        <f>VLOOKUP(Table1[[#This Row],[Point of Origin]],Table2[#All],3,0)</f>
        <v>International</v>
      </c>
      <c r="F783" s="20" t="s">
        <v>82</v>
      </c>
      <c r="G783" s="21" t="s">
        <v>20</v>
      </c>
      <c r="H783" s="22">
        <v>11</v>
      </c>
      <c r="I783" s="22">
        <f>Table1[[#This Row],[Total Weight Imported (lbs)]]*0.453592</f>
        <v>4.9895119999999995</v>
      </c>
      <c r="J783" s="23">
        <f>19.34+30.02</f>
        <v>49.36</v>
      </c>
      <c r="K783" s="41"/>
    </row>
    <row r="784" spans="1:11" ht="15.75" customHeight="1">
      <c r="A784" s="27" t="s">
        <v>238</v>
      </c>
      <c r="B784" s="27" t="s">
        <v>116</v>
      </c>
      <c r="C784" s="27" t="s">
        <v>116</v>
      </c>
      <c r="D784" s="20" t="str">
        <f>VLOOKUP(Table1[[#This Row],[Point of Origin]],Table2[#All],2,0)</f>
        <v>South Korea</v>
      </c>
      <c r="E784" s="20" t="str">
        <f>VLOOKUP(Table1[[#This Row],[Point of Origin]],Table2[#All],3,0)</f>
        <v>International</v>
      </c>
      <c r="F784" s="20" t="s">
        <v>59</v>
      </c>
      <c r="G784" s="21" t="s">
        <v>60</v>
      </c>
      <c r="H784" s="22">
        <v>84</v>
      </c>
      <c r="I784" s="22">
        <f>Table1[[#This Row],[Total Weight Imported (lbs)]]*0.453592</f>
        <v>38.101728000000001</v>
      </c>
      <c r="J784" s="23">
        <f>208.78+206.18+35.37+9.46+20.05+7.38</f>
        <v>487.22</v>
      </c>
      <c r="K784" s="41"/>
    </row>
    <row r="785" spans="1:11" ht="15.75" customHeight="1">
      <c r="A785" s="27" t="s">
        <v>238</v>
      </c>
      <c r="B785" s="27" t="s">
        <v>116</v>
      </c>
      <c r="C785" s="27" t="s">
        <v>116</v>
      </c>
      <c r="D785" s="20" t="str">
        <f>VLOOKUP(Table1[[#This Row],[Point of Origin]],Table2[#All],2,0)</f>
        <v>South Korea</v>
      </c>
      <c r="E785" s="20" t="str">
        <f>VLOOKUP(Table1[[#This Row],[Point of Origin]],Table2[#All],3,0)</f>
        <v>International</v>
      </c>
      <c r="F785" s="20" t="s">
        <v>81</v>
      </c>
      <c r="G785" s="21" t="s">
        <v>62</v>
      </c>
      <c r="H785" s="22">
        <v>46</v>
      </c>
      <c r="I785" s="22">
        <f>Table1[[#This Row],[Total Weight Imported (lbs)]]*0.453592</f>
        <v>20.865231999999999</v>
      </c>
      <c r="J785" s="23">
        <f>51.69+84.79+131.44</f>
        <v>267.92</v>
      </c>
      <c r="K785" s="41"/>
    </row>
    <row r="786" spans="1:11" ht="15.75" customHeight="1">
      <c r="A786" s="27" t="s">
        <v>238</v>
      </c>
      <c r="B786" s="27" t="s">
        <v>116</v>
      </c>
      <c r="C786" s="27" t="s">
        <v>116</v>
      </c>
      <c r="D786" s="20" t="str">
        <f>VLOOKUP(Table1[[#This Row],[Point of Origin]],Table2[#All],2,0)</f>
        <v>South Korea</v>
      </c>
      <c r="E786" s="20" t="str">
        <f>VLOOKUP(Table1[[#This Row],[Point of Origin]],Table2[#All],3,0)</f>
        <v>International</v>
      </c>
      <c r="F786" s="27" t="s">
        <v>84</v>
      </c>
      <c r="G786" s="21" t="s">
        <v>85</v>
      </c>
      <c r="H786" s="22">
        <v>13</v>
      </c>
      <c r="I786" s="22">
        <f>Table1[[#This Row],[Total Weight Imported (lbs)]]*0.453592</f>
        <v>5.8966960000000004</v>
      </c>
      <c r="J786" s="23">
        <v>62.72</v>
      </c>
      <c r="K786" s="1"/>
    </row>
    <row r="787" spans="1:11" ht="15.75" customHeight="1">
      <c r="A787" s="27" t="s">
        <v>238</v>
      </c>
      <c r="B787" s="27" t="s">
        <v>116</v>
      </c>
      <c r="C787" s="27" t="s">
        <v>116</v>
      </c>
      <c r="D787" s="20" t="str">
        <f>VLOOKUP(Table1[[#This Row],[Point of Origin]],Table2[#All],2,0)</f>
        <v>South Korea</v>
      </c>
      <c r="E787" s="20" t="str">
        <f>VLOOKUP(Table1[[#This Row],[Point of Origin]],Table2[#All],3,0)</f>
        <v>International</v>
      </c>
      <c r="F787" s="27" t="s">
        <v>227</v>
      </c>
      <c r="G787" s="21" t="s">
        <v>64</v>
      </c>
      <c r="H787" s="22">
        <v>40</v>
      </c>
      <c r="I787" s="22">
        <f>Table1[[#This Row],[Total Weight Imported (lbs)]]*0.453592</f>
        <v>18.14368</v>
      </c>
      <c r="J787" s="23">
        <v>177.71</v>
      </c>
      <c r="K787" s="41"/>
    </row>
    <row r="788" spans="1:11" ht="15.75" customHeight="1">
      <c r="A788" s="27" t="s">
        <v>238</v>
      </c>
      <c r="B788" s="27" t="s">
        <v>116</v>
      </c>
      <c r="C788" s="27" t="s">
        <v>116</v>
      </c>
      <c r="D788" s="20" t="str">
        <f>VLOOKUP(Table1[[#This Row],[Point of Origin]],Table2[#All],2,0)</f>
        <v>South Korea</v>
      </c>
      <c r="E788" s="20" t="str">
        <f>VLOOKUP(Table1[[#This Row],[Point of Origin]],Table2[#All],3,0)</f>
        <v>International</v>
      </c>
      <c r="F788" s="20" t="s">
        <v>36</v>
      </c>
      <c r="G788" s="21" t="s">
        <v>37</v>
      </c>
      <c r="H788" s="22">
        <v>75</v>
      </c>
      <c r="I788" s="22">
        <f>Table1[[#This Row],[Total Weight Imported (lbs)]]*0.453592</f>
        <v>34.019399999999997</v>
      </c>
      <c r="J788" s="23">
        <f>26.87+135.28+99.42+40.94+60.95</f>
        <v>363.46</v>
      </c>
      <c r="K788" s="1"/>
    </row>
    <row r="789" spans="1:11" ht="15.75" customHeight="1">
      <c r="A789" s="27" t="s">
        <v>238</v>
      </c>
      <c r="B789" s="27" t="s">
        <v>116</v>
      </c>
      <c r="C789" s="27" t="s">
        <v>116</v>
      </c>
      <c r="D789" s="20" t="str">
        <f>VLOOKUP(Table1[[#This Row],[Point of Origin]],Table2[#All],2,0)</f>
        <v>South Korea</v>
      </c>
      <c r="E789" s="20" t="str">
        <f>VLOOKUP(Table1[[#This Row],[Point of Origin]],Table2[#All],3,0)</f>
        <v>International</v>
      </c>
      <c r="F789" s="27" t="s">
        <v>119</v>
      </c>
      <c r="G789" s="21" t="s">
        <v>120</v>
      </c>
      <c r="H789" s="22">
        <v>77</v>
      </c>
      <c r="I789" s="22">
        <f>Table1[[#This Row],[Total Weight Imported (lbs)]]*0.453592</f>
        <v>34.926583999999998</v>
      </c>
      <c r="J789" s="23">
        <f>177.12+149.32</f>
        <v>326.44</v>
      </c>
      <c r="K789" s="1"/>
    </row>
    <row r="790" spans="1:11" ht="15.75" customHeight="1">
      <c r="A790" s="27" t="s">
        <v>238</v>
      </c>
      <c r="B790" s="27" t="s">
        <v>116</v>
      </c>
      <c r="C790" s="27" t="s">
        <v>116</v>
      </c>
      <c r="D790" s="20" t="str">
        <f>VLOOKUP(Table1[[#This Row],[Point of Origin]],Table2[#All],2,0)</f>
        <v>South Korea</v>
      </c>
      <c r="E790" s="20" t="str">
        <f>VLOOKUP(Table1[[#This Row],[Point of Origin]],Table2[#All],3,0)</f>
        <v>International</v>
      </c>
      <c r="F790" s="27" t="s">
        <v>239</v>
      </c>
      <c r="G790" s="21" t="s">
        <v>174</v>
      </c>
      <c r="H790" s="22">
        <v>26</v>
      </c>
      <c r="I790" s="22">
        <f>Table1[[#This Row],[Total Weight Imported (lbs)]]*0.453592</f>
        <v>11.793392000000001</v>
      </c>
      <c r="J790" s="23">
        <v>185.55</v>
      </c>
      <c r="K790" s="1"/>
    </row>
    <row r="791" spans="1:11" ht="15.75" customHeight="1">
      <c r="A791" s="27" t="s">
        <v>238</v>
      </c>
      <c r="B791" s="27" t="s">
        <v>116</v>
      </c>
      <c r="C791" s="27" t="s">
        <v>116</v>
      </c>
      <c r="D791" s="20" t="str">
        <f>VLOOKUP(Table1[[#This Row],[Point of Origin]],Table2[#All],2,0)</f>
        <v>South Korea</v>
      </c>
      <c r="E791" s="20" t="str">
        <f>VLOOKUP(Table1[[#This Row],[Point of Origin]],Table2[#All],3,0)</f>
        <v>International</v>
      </c>
      <c r="F791" s="20" t="s">
        <v>38</v>
      </c>
      <c r="G791" s="21" t="s">
        <v>39</v>
      </c>
      <c r="H791" s="22">
        <v>79</v>
      </c>
      <c r="I791" s="22">
        <f>Table1[[#This Row],[Total Weight Imported (lbs)]]*0.453592</f>
        <v>35.833767999999999</v>
      </c>
      <c r="J791" s="23">
        <f>344.12+207.98</f>
        <v>552.1</v>
      </c>
      <c r="K791" s="41"/>
    </row>
    <row r="792" spans="1:11" ht="15.75" customHeight="1">
      <c r="A792" s="27" t="s">
        <v>238</v>
      </c>
      <c r="B792" s="27" t="s">
        <v>116</v>
      </c>
      <c r="C792" s="27" t="s">
        <v>116</v>
      </c>
      <c r="D792" s="20" t="str">
        <f>VLOOKUP(Table1[[#This Row],[Point of Origin]],Table2[#All],2,0)</f>
        <v>South Korea</v>
      </c>
      <c r="E792" s="20" t="str">
        <f>VLOOKUP(Table1[[#This Row],[Point of Origin]],Table2[#All],3,0)</f>
        <v>International</v>
      </c>
      <c r="F792" s="27" t="s">
        <v>71</v>
      </c>
      <c r="G792" s="21" t="s">
        <v>72</v>
      </c>
      <c r="H792" s="22">
        <v>88</v>
      </c>
      <c r="I792" s="22">
        <f>Table1[[#This Row],[Total Weight Imported (lbs)]]*0.453592</f>
        <v>39.916095999999996</v>
      </c>
      <c r="J792" s="23">
        <v>493.72</v>
      </c>
      <c r="K792" s="41"/>
    </row>
    <row r="793" spans="1:11" ht="15.75" customHeight="1">
      <c r="A793" s="28" t="s">
        <v>240</v>
      </c>
      <c r="B793" s="28" t="s">
        <v>116</v>
      </c>
      <c r="C793" s="28" t="s">
        <v>116</v>
      </c>
      <c r="D793" s="28" t="str">
        <f>VLOOKUP(Table1[[#This Row],[Point of Origin]],Table2[#All],2,0)</f>
        <v>South Korea</v>
      </c>
      <c r="E793" s="28" t="str">
        <f>VLOOKUP(Table1[[#This Row],[Point of Origin]],Table2[#All],3,0)</f>
        <v>International</v>
      </c>
      <c r="F793" s="28" t="s">
        <v>76</v>
      </c>
      <c r="G793" s="21" t="s">
        <v>77</v>
      </c>
      <c r="H793" s="22">
        <v>75</v>
      </c>
      <c r="I793" s="22">
        <f>Table1[[#This Row],[Total Weight Imported (lbs)]]*0.453592</f>
        <v>34.019399999999997</v>
      </c>
      <c r="J793" s="23">
        <v>115.5</v>
      </c>
      <c r="K793" s="1"/>
    </row>
    <row r="794" spans="1:11" ht="15.75" customHeight="1">
      <c r="A794" s="28" t="s">
        <v>240</v>
      </c>
      <c r="B794" s="28" t="s">
        <v>116</v>
      </c>
      <c r="C794" s="28" t="s">
        <v>116</v>
      </c>
      <c r="D794" s="28" t="str">
        <f>VLOOKUP(Table1[[#This Row],[Point of Origin]],Table2[#All],2,0)</f>
        <v>South Korea</v>
      </c>
      <c r="E794" s="28" t="str">
        <f>VLOOKUP(Table1[[#This Row],[Point of Origin]],Table2[#All],3,0)</f>
        <v>International</v>
      </c>
      <c r="F794" s="36" t="s">
        <v>102</v>
      </c>
      <c r="G794" s="21" t="s">
        <v>32</v>
      </c>
      <c r="H794" s="22">
        <v>15</v>
      </c>
      <c r="I794" s="22">
        <f>Table1[[#This Row],[Total Weight Imported (lbs)]]*0.453592</f>
        <v>6.8038799999999995</v>
      </c>
      <c r="J794" s="23">
        <f>31.45+39.86</f>
        <v>71.31</v>
      </c>
      <c r="K794" s="41"/>
    </row>
    <row r="795" spans="1:11" ht="15.75" customHeight="1">
      <c r="A795" s="28" t="s">
        <v>240</v>
      </c>
      <c r="B795" s="28" t="s">
        <v>116</v>
      </c>
      <c r="C795" s="28" t="s">
        <v>116</v>
      </c>
      <c r="D795" s="28" t="str">
        <f>VLOOKUP(Table1[[#This Row],[Point of Origin]],Table2[#All],2,0)</f>
        <v>South Korea</v>
      </c>
      <c r="E795" s="28" t="str">
        <f>VLOOKUP(Table1[[#This Row],[Point of Origin]],Table2[#All],3,0)</f>
        <v>International</v>
      </c>
      <c r="F795" s="28" t="s">
        <v>82</v>
      </c>
      <c r="G795" s="21" t="s">
        <v>20</v>
      </c>
      <c r="H795" s="22">
        <v>26</v>
      </c>
      <c r="I795" s="22">
        <f>Table1[[#This Row],[Total Weight Imported (lbs)]]*0.453592</f>
        <v>11.793392000000001</v>
      </c>
      <c r="J795" s="23">
        <f>36.46+54.48+18.49</f>
        <v>109.42999999999999</v>
      </c>
      <c r="K795" s="41"/>
    </row>
    <row r="796" spans="1:11" ht="15.75" customHeight="1">
      <c r="A796" s="28" t="s">
        <v>240</v>
      </c>
      <c r="B796" s="28" t="s">
        <v>116</v>
      </c>
      <c r="C796" s="28" t="s">
        <v>116</v>
      </c>
      <c r="D796" s="28" t="str">
        <f>VLOOKUP(Table1[[#This Row],[Point of Origin]],Table2[#All],2,0)</f>
        <v>South Korea</v>
      </c>
      <c r="E796" s="28" t="str">
        <f>VLOOKUP(Table1[[#This Row],[Point of Origin]],Table2[#All],3,0)</f>
        <v>International</v>
      </c>
      <c r="F796" s="28" t="s">
        <v>59</v>
      </c>
      <c r="G796" s="21" t="s">
        <v>60</v>
      </c>
      <c r="H796" s="22">
        <v>44</v>
      </c>
      <c r="I796" s="22">
        <f>Table1[[#This Row],[Total Weight Imported (lbs)]]*0.453592</f>
        <v>19.958047999999998</v>
      </c>
      <c r="J796" s="23">
        <f>104.2+70.76</f>
        <v>174.96</v>
      </c>
      <c r="K796" s="41"/>
    </row>
    <row r="797" spans="1:11" ht="15.75" customHeight="1">
      <c r="A797" s="28" t="s">
        <v>240</v>
      </c>
      <c r="B797" s="28" t="s">
        <v>116</v>
      </c>
      <c r="C797" s="28" t="s">
        <v>116</v>
      </c>
      <c r="D797" s="28" t="str">
        <f>VLOOKUP(Table1[[#This Row],[Point of Origin]],Table2[#All],2,0)</f>
        <v>South Korea</v>
      </c>
      <c r="E797" s="28" t="str">
        <f>VLOOKUP(Table1[[#This Row],[Point of Origin]],Table2[#All],3,0)</f>
        <v>International</v>
      </c>
      <c r="F797" s="28" t="s">
        <v>50</v>
      </c>
      <c r="G797" s="21" t="s">
        <v>51</v>
      </c>
      <c r="H797" s="22">
        <v>42</v>
      </c>
      <c r="I797" s="22">
        <f>Table1[[#This Row],[Total Weight Imported (lbs)]]*0.453592</f>
        <v>19.050864000000001</v>
      </c>
      <c r="J797" s="23">
        <f>201.71+29.79+8.7+15.11+6.87</f>
        <v>262.18</v>
      </c>
      <c r="K797" s="41"/>
    </row>
    <row r="798" spans="1:11" ht="15.75" customHeight="1">
      <c r="A798" s="28" t="s">
        <v>240</v>
      </c>
      <c r="B798" s="28" t="s">
        <v>116</v>
      </c>
      <c r="C798" s="28" t="s">
        <v>116</v>
      </c>
      <c r="D798" s="28" t="str">
        <f>VLOOKUP(Table1[[#This Row],[Point of Origin]],Table2[#All],2,0)</f>
        <v>South Korea</v>
      </c>
      <c r="E798" s="28" t="str">
        <f>VLOOKUP(Table1[[#This Row],[Point of Origin]],Table2[#All],3,0)</f>
        <v>International</v>
      </c>
      <c r="F798" s="28" t="s">
        <v>81</v>
      </c>
      <c r="G798" s="21" t="s">
        <v>62</v>
      </c>
      <c r="H798" s="22">
        <v>69</v>
      </c>
      <c r="I798" s="22">
        <f>Table1[[#This Row],[Total Weight Imported (lbs)]]*0.453592</f>
        <v>31.297847999999998</v>
      </c>
      <c r="J798" s="23">
        <f>47.81+88.74+104.8+124.02</f>
        <v>365.37</v>
      </c>
      <c r="K798" s="41"/>
    </row>
    <row r="799" spans="1:11" ht="15.75" customHeight="1">
      <c r="A799" s="28" t="s">
        <v>240</v>
      </c>
      <c r="B799" s="28" t="s">
        <v>116</v>
      </c>
      <c r="C799" s="28" t="s">
        <v>116</v>
      </c>
      <c r="D799" s="28" t="str">
        <f>VLOOKUP(Table1[[#This Row],[Point of Origin]],Table2[#All],2,0)</f>
        <v>South Korea</v>
      </c>
      <c r="E799" s="28" t="str">
        <f>VLOOKUP(Table1[[#This Row],[Point of Origin]],Table2[#All],3,0)</f>
        <v>International</v>
      </c>
      <c r="F799" s="28" t="s">
        <v>84</v>
      </c>
      <c r="G799" s="21" t="s">
        <v>85</v>
      </c>
      <c r="H799" s="22">
        <v>13</v>
      </c>
      <c r="I799" s="22">
        <f>Table1[[#This Row],[Total Weight Imported (lbs)]]*0.453592</f>
        <v>5.8966960000000004</v>
      </c>
      <c r="J799" s="23">
        <v>60.33</v>
      </c>
      <c r="K799" s="1"/>
    </row>
    <row r="800" spans="1:11" ht="15.75" customHeight="1">
      <c r="A800" s="28" t="s">
        <v>240</v>
      </c>
      <c r="B800" s="28" t="s">
        <v>116</v>
      </c>
      <c r="C800" s="28" t="s">
        <v>116</v>
      </c>
      <c r="D800" s="28" t="str">
        <f>VLOOKUP(Table1[[#This Row],[Point of Origin]],Table2[#All],2,0)</f>
        <v>South Korea</v>
      </c>
      <c r="E800" s="28" t="str">
        <f>VLOOKUP(Table1[[#This Row],[Point of Origin]],Table2[#All],3,0)</f>
        <v>International</v>
      </c>
      <c r="F800" s="36" t="s">
        <v>227</v>
      </c>
      <c r="G800" s="21" t="s">
        <v>64</v>
      </c>
      <c r="H800" s="22">
        <v>40</v>
      </c>
      <c r="I800" s="22">
        <f>Table1[[#This Row],[Total Weight Imported (lbs)]]*0.453592</f>
        <v>18.14368</v>
      </c>
      <c r="J800" s="23">
        <v>160.02000000000001</v>
      </c>
      <c r="K800" s="41"/>
    </row>
    <row r="801" spans="1:11" ht="15.75" customHeight="1">
      <c r="A801" s="28" t="s">
        <v>240</v>
      </c>
      <c r="B801" s="28" t="s">
        <v>116</v>
      </c>
      <c r="C801" s="28" t="s">
        <v>116</v>
      </c>
      <c r="D801" s="28" t="str">
        <f>VLOOKUP(Table1[[#This Row],[Point of Origin]],Table2[#All],2,0)</f>
        <v>South Korea</v>
      </c>
      <c r="E801" s="28" t="str">
        <f>VLOOKUP(Table1[[#This Row],[Point of Origin]],Table2[#All],3,0)</f>
        <v>International</v>
      </c>
      <c r="F801" s="28" t="s">
        <v>36</v>
      </c>
      <c r="G801" s="21" t="s">
        <v>37</v>
      </c>
      <c r="H801" s="22">
        <v>73</v>
      </c>
      <c r="I801" s="22">
        <f>Table1[[#This Row],[Total Weight Imported (lbs)]]*0.453592</f>
        <v>33.112215999999997</v>
      </c>
      <c r="J801" s="23">
        <f>26.53+109.57+76.54+53.81+73.03</f>
        <v>339.48</v>
      </c>
      <c r="K801" s="1"/>
    </row>
    <row r="802" spans="1:11" ht="15.75" customHeight="1">
      <c r="A802" s="28" t="s">
        <v>240</v>
      </c>
      <c r="B802" s="28" t="s">
        <v>116</v>
      </c>
      <c r="C802" s="28" t="s">
        <v>116</v>
      </c>
      <c r="D802" s="28" t="str">
        <f>VLOOKUP(Table1[[#This Row],[Point of Origin]],Table2[#All],2,0)</f>
        <v>South Korea</v>
      </c>
      <c r="E802" s="28" t="str">
        <f>VLOOKUP(Table1[[#This Row],[Point of Origin]],Table2[#All],3,0)</f>
        <v>International</v>
      </c>
      <c r="F802" s="36" t="s">
        <v>119</v>
      </c>
      <c r="G802" s="21" t="s">
        <v>120</v>
      </c>
      <c r="H802" s="22">
        <v>97</v>
      </c>
      <c r="I802" s="22">
        <f>Table1[[#This Row],[Total Weight Imported (lbs)]]*0.453592</f>
        <v>43.998424</v>
      </c>
      <c r="J802" s="23">
        <f>182.39+172.75+132.63</f>
        <v>487.77</v>
      </c>
      <c r="K802" s="1"/>
    </row>
    <row r="803" spans="1:11" ht="15.75" customHeight="1">
      <c r="A803" s="28" t="s">
        <v>240</v>
      </c>
      <c r="B803" s="28" t="s">
        <v>116</v>
      </c>
      <c r="C803" s="28" t="s">
        <v>116</v>
      </c>
      <c r="D803" s="28" t="str">
        <f>VLOOKUP(Table1[[#This Row],[Point of Origin]],Table2[#All],2,0)</f>
        <v>South Korea</v>
      </c>
      <c r="E803" s="28" t="str">
        <f>VLOOKUP(Table1[[#This Row],[Point of Origin]],Table2[#All],3,0)</f>
        <v>International</v>
      </c>
      <c r="F803" s="28" t="s">
        <v>38</v>
      </c>
      <c r="G803" s="21" t="s">
        <v>39</v>
      </c>
      <c r="H803" s="22">
        <v>79</v>
      </c>
      <c r="I803" s="22">
        <f>Table1[[#This Row],[Total Weight Imported (lbs)]]*0.453592</f>
        <v>35.833767999999999</v>
      </c>
      <c r="J803" s="23">
        <f>328.29+210.51</f>
        <v>538.79999999999995</v>
      </c>
      <c r="K803" s="41"/>
    </row>
    <row r="804" spans="1:11" ht="15.75" customHeight="1">
      <c r="A804" s="28" t="s">
        <v>240</v>
      </c>
      <c r="B804" s="28" t="s">
        <v>116</v>
      </c>
      <c r="C804" s="28" t="s">
        <v>116</v>
      </c>
      <c r="D804" s="28" t="str">
        <f>VLOOKUP(Table1[[#This Row],[Point of Origin]],Table2[#All],2,0)</f>
        <v>South Korea</v>
      </c>
      <c r="E804" s="28" t="str">
        <f>VLOOKUP(Table1[[#This Row],[Point of Origin]],Table2[#All],3,0)</f>
        <v>International</v>
      </c>
      <c r="F804" s="36" t="s">
        <v>71</v>
      </c>
      <c r="G804" s="21" t="s">
        <v>72</v>
      </c>
      <c r="H804" s="22">
        <v>44</v>
      </c>
      <c r="I804" s="22">
        <f>Table1[[#This Row],[Total Weight Imported (lbs)]]*0.453592</f>
        <v>19.958047999999998</v>
      </c>
      <c r="J804" s="23">
        <v>247.72</v>
      </c>
      <c r="K804" s="41"/>
    </row>
    <row r="805" spans="1:11" ht="15.75" customHeight="1">
      <c r="A805" s="27" t="s">
        <v>241</v>
      </c>
      <c r="B805" s="27" t="s">
        <v>116</v>
      </c>
      <c r="C805" s="27" t="s">
        <v>116</v>
      </c>
      <c r="D805" s="20" t="str">
        <f>VLOOKUP(Table1[[#This Row],[Point of Origin]],Table2[#All],2,0)</f>
        <v>South Korea</v>
      </c>
      <c r="E805" s="20" t="str">
        <f>VLOOKUP(Table1[[#This Row],[Point of Origin]],Table2[#All],3,0)</f>
        <v>International</v>
      </c>
      <c r="F805" s="20" t="s">
        <v>76</v>
      </c>
      <c r="G805" s="21" t="s">
        <v>77</v>
      </c>
      <c r="H805" s="22">
        <v>75</v>
      </c>
      <c r="I805" s="22">
        <f>Table1[[#This Row],[Total Weight Imported (lbs)]]*0.453592</f>
        <v>34.019399999999997</v>
      </c>
      <c r="J805" s="23">
        <v>115.5</v>
      </c>
      <c r="K805" s="1"/>
    </row>
    <row r="806" spans="1:11" ht="15.75" customHeight="1">
      <c r="A806" s="27" t="s">
        <v>241</v>
      </c>
      <c r="B806" s="27" t="s">
        <v>116</v>
      </c>
      <c r="C806" s="27" t="s">
        <v>116</v>
      </c>
      <c r="D806" s="20" t="str">
        <f>VLOOKUP(Table1[[#This Row],[Point of Origin]],Table2[#All],2,0)</f>
        <v>South Korea</v>
      </c>
      <c r="E806" s="20" t="str">
        <f>VLOOKUP(Table1[[#This Row],[Point of Origin]],Table2[#All],3,0)</f>
        <v>International</v>
      </c>
      <c r="F806" s="27" t="s">
        <v>102</v>
      </c>
      <c r="G806" s="21" t="s">
        <v>32</v>
      </c>
      <c r="H806" s="22">
        <v>13</v>
      </c>
      <c r="I806" s="22">
        <f>Table1[[#This Row],[Total Weight Imported (lbs)]]*0.453592</f>
        <v>5.8966960000000004</v>
      </c>
      <c r="J806" s="23">
        <f>21.6+39.82</f>
        <v>61.42</v>
      </c>
      <c r="K806" s="41"/>
    </row>
    <row r="807" spans="1:11" ht="15.75" customHeight="1">
      <c r="A807" s="27" t="s">
        <v>241</v>
      </c>
      <c r="B807" s="27" t="s">
        <v>116</v>
      </c>
      <c r="C807" s="27" t="s">
        <v>116</v>
      </c>
      <c r="D807" s="20" t="str">
        <f>VLOOKUP(Table1[[#This Row],[Point of Origin]],Table2[#All],2,0)</f>
        <v>South Korea</v>
      </c>
      <c r="E807" s="20" t="str">
        <f>VLOOKUP(Table1[[#This Row],[Point of Origin]],Table2[#All],3,0)</f>
        <v>International</v>
      </c>
      <c r="F807" s="20" t="s">
        <v>82</v>
      </c>
      <c r="G807" s="21" t="s">
        <v>20</v>
      </c>
      <c r="H807" s="22">
        <v>15</v>
      </c>
      <c r="I807" s="22">
        <f>Table1[[#This Row],[Total Weight Imported (lbs)]]*0.453592</f>
        <v>6.8038799999999995</v>
      </c>
      <c r="J807" s="23">
        <f>14.7+21.85+21.6</f>
        <v>58.15</v>
      </c>
      <c r="K807" s="41"/>
    </row>
    <row r="808" spans="1:11" ht="15.75" customHeight="1">
      <c r="A808" s="27" t="s">
        <v>241</v>
      </c>
      <c r="B808" s="27" t="s">
        <v>116</v>
      </c>
      <c r="C808" s="27" t="s">
        <v>116</v>
      </c>
      <c r="D808" s="20" t="str">
        <f>VLOOKUP(Table1[[#This Row],[Point of Origin]],Table2[#All],2,0)</f>
        <v>South Korea</v>
      </c>
      <c r="E808" s="20" t="str">
        <f>VLOOKUP(Table1[[#This Row],[Point of Origin]],Table2[#All],3,0)</f>
        <v>International</v>
      </c>
      <c r="F808" s="20" t="s">
        <v>59</v>
      </c>
      <c r="G808" s="21" t="s">
        <v>60</v>
      </c>
      <c r="H808" s="22">
        <v>62</v>
      </c>
      <c r="I808" s="22">
        <f>Table1[[#This Row],[Total Weight Imported (lbs)]]*0.453592</f>
        <v>28.122703999999999</v>
      </c>
      <c r="J808" s="23">
        <f>165.05+118.9</f>
        <v>283.95000000000005</v>
      </c>
      <c r="K808" s="41"/>
    </row>
    <row r="809" spans="1:11" ht="15.75" customHeight="1">
      <c r="A809" s="27" t="s">
        <v>241</v>
      </c>
      <c r="B809" s="27" t="s">
        <v>116</v>
      </c>
      <c r="C809" s="27" t="s">
        <v>116</v>
      </c>
      <c r="D809" s="20" t="str">
        <f>VLOOKUP(Table1[[#This Row],[Point of Origin]],Table2[#All],2,0)</f>
        <v>South Korea</v>
      </c>
      <c r="E809" s="20" t="str">
        <f>VLOOKUP(Table1[[#This Row],[Point of Origin]],Table2[#All],3,0)</f>
        <v>International</v>
      </c>
      <c r="F809" s="20" t="s">
        <v>50</v>
      </c>
      <c r="G809" s="21" t="s">
        <v>51</v>
      </c>
      <c r="H809" s="22">
        <v>31</v>
      </c>
      <c r="I809" s="22">
        <f>Table1[[#This Row],[Total Weight Imported (lbs)]]*0.453592</f>
        <v>14.061351999999999</v>
      </c>
      <c r="J809" s="23">
        <f>128.79+34.57+10.22+18.94+10.03</f>
        <v>202.54999999999998</v>
      </c>
      <c r="K809" s="41"/>
    </row>
    <row r="810" spans="1:11" ht="15.75" customHeight="1">
      <c r="A810" s="27" t="s">
        <v>241</v>
      </c>
      <c r="B810" s="27" t="s">
        <v>116</v>
      </c>
      <c r="C810" s="27" t="s">
        <v>116</v>
      </c>
      <c r="D810" s="20" t="str">
        <f>VLOOKUP(Table1[[#This Row],[Point of Origin]],Table2[#All],2,0)</f>
        <v>South Korea</v>
      </c>
      <c r="E810" s="20" t="str">
        <f>VLOOKUP(Table1[[#This Row],[Point of Origin]],Table2[#All],3,0)</f>
        <v>International</v>
      </c>
      <c r="F810" s="20" t="s">
        <v>81</v>
      </c>
      <c r="G810" s="21" t="s">
        <v>62</v>
      </c>
      <c r="H810" s="22">
        <v>107</v>
      </c>
      <c r="I810" s="22">
        <f>Table1[[#This Row],[Total Weight Imported (lbs)]]*0.453592</f>
        <v>48.534343999999997</v>
      </c>
      <c r="J810" s="23">
        <f>51.08+185.46+114.27+299.88</f>
        <v>650.69000000000005</v>
      </c>
      <c r="K810" s="41"/>
    </row>
    <row r="811" spans="1:11" ht="15.75" customHeight="1">
      <c r="A811" s="27" t="s">
        <v>241</v>
      </c>
      <c r="B811" s="27" t="s">
        <v>116</v>
      </c>
      <c r="C811" s="27" t="s">
        <v>116</v>
      </c>
      <c r="D811" s="20" t="str">
        <f>VLOOKUP(Table1[[#This Row],[Point of Origin]],Table2[#All],2,0)</f>
        <v>South Korea</v>
      </c>
      <c r="E811" s="20" t="str">
        <f>VLOOKUP(Table1[[#This Row],[Point of Origin]],Table2[#All],3,0)</f>
        <v>International</v>
      </c>
      <c r="F811" s="20" t="s">
        <v>84</v>
      </c>
      <c r="G811" s="21" t="s">
        <v>85</v>
      </c>
      <c r="H811" s="22">
        <v>13</v>
      </c>
      <c r="I811" s="22">
        <f>Table1[[#This Row],[Total Weight Imported (lbs)]]*0.453592</f>
        <v>5.8966960000000004</v>
      </c>
      <c r="J811" s="23">
        <v>61.99</v>
      </c>
      <c r="K811" s="1"/>
    </row>
    <row r="812" spans="1:11" ht="15.75" customHeight="1">
      <c r="A812" s="27" t="s">
        <v>241</v>
      </c>
      <c r="B812" s="27" t="s">
        <v>116</v>
      </c>
      <c r="C812" s="27" t="s">
        <v>116</v>
      </c>
      <c r="D812" s="20" t="str">
        <f>VLOOKUP(Table1[[#This Row],[Point of Origin]],Table2[#All],2,0)</f>
        <v>South Korea</v>
      </c>
      <c r="E812" s="20" t="str">
        <f>VLOOKUP(Table1[[#This Row],[Point of Origin]],Table2[#All],3,0)</f>
        <v>International</v>
      </c>
      <c r="F812" s="27" t="s">
        <v>227</v>
      </c>
      <c r="G812" s="21" t="s">
        <v>64</v>
      </c>
      <c r="H812" s="22">
        <v>26</v>
      </c>
      <c r="I812" s="22">
        <f>Table1[[#This Row],[Total Weight Imported (lbs)]]*0.453592</f>
        <v>11.793392000000001</v>
      </c>
      <c r="J812" s="23">
        <v>95.32</v>
      </c>
      <c r="K812" s="41"/>
    </row>
    <row r="813" spans="1:11" ht="15.75" customHeight="1">
      <c r="A813" s="27" t="s">
        <v>241</v>
      </c>
      <c r="B813" s="27" t="s">
        <v>116</v>
      </c>
      <c r="C813" s="27" t="s">
        <v>116</v>
      </c>
      <c r="D813" s="20" t="str">
        <f>VLOOKUP(Table1[[#This Row],[Point of Origin]],Table2[#All],2,0)</f>
        <v>South Korea</v>
      </c>
      <c r="E813" s="20" t="str">
        <f>VLOOKUP(Table1[[#This Row],[Point of Origin]],Table2[#All],3,0)</f>
        <v>International</v>
      </c>
      <c r="F813" s="20" t="s">
        <v>36</v>
      </c>
      <c r="G813" s="21" t="s">
        <v>37</v>
      </c>
      <c r="H813" s="22">
        <v>71</v>
      </c>
      <c r="I813" s="22">
        <f>Table1[[#This Row],[Total Weight Imported (lbs)]]*0.453592</f>
        <v>32.205032000000003</v>
      </c>
      <c r="J813" s="23">
        <f>27.34+116.61+94.42+41.04+58.2</f>
        <v>337.61</v>
      </c>
      <c r="K813" s="1"/>
    </row>
    <row r="814" spans="1:11" ht="15.75" customHeight="1">
      <c r="A814" s="27" t="s">
        <v>241</v>
      </c>
      <c r="B814" s="27" t="s">
        <v>116</v>
      </c>
      <c r="C814" s="27" t="s">
        <v>116</v>
      </c>
      <c r="D814" s="20" t="str">
        <f>VLOOKUP(Table1[[#This Row],[Point of Origin]],Table2[#All],2,0)</f>
        <v>South Korea</v>
      </c>
      <c r="E814" s="20" t="str">
        <f>VLOOKUP(Table1[[#This Row],[Point of Origin]],Table2[#All],3,0)</f>
        <v>International</v>
      </c>
      <c r="F814" s="27" t="s">
        <v>119</v>
      </c>
      <c r="G814" s="21" t="s">
        <v>120</v>
      </c>
      <c r="H814" s="22">
        <v>77</v>
      </c>
      <c r="I814" s="22">
        <f>Table1[[#This Row],[Total Weight Imported (lbs)]]*0.453592</f>
        <v>34.926583999999998</v>
      </c>
      <c r="J814" s="23">
        <f>176.08+131.6</f>
        <v>307.68</v>
      </c>
      <c r="K814" s="1"/>
    </row>
    <row r="815" spans="1:11" ht="15.75" customHeight="1">
      <c r="A815" s="27" t="s">
        <v>241</v>
      </c>
      <c r="B815" s="27" t="s">
        <v>116</v>
      </c>
      <c r="C815" s="27" t="s">
        <v>116</v>
      </c>
      <c r="D815" s="20" t="str">
        <f>VLOOKUP(Table1[[#This Row],[Point of Origin]],Table2[#All],2,0)</f>
        <v>South Korea</v>
      </c>
      <c r="E815" s="20" t="str">
        <f>VLOOKUP(Table1[[#This Row],[Point of Origin]],Table2[#All],3,0)</f>
        <v>International</v>
      </c>
      <c r="F815" s="20" t="s">
        <v>38</v>
      </c>
      <c r="G815" s="21" t="s">
        <v>39</v>
      </c>
      <c r="H815" s="22">
        <v>79</v>
      </c>
      <c r="I815" s="22">
        <f>Table1[[#This Row],[Total Weight Imported (lbs)]]*0.453592</f>
        <v>35.833767999999999</v>
      </c>
      <c r="J815" s="23">
        <f>325.49+203.24+240.98</f>
        <v>769.71</v>
      </c>
      <c r="K815" s="41"/>
    </row>
    <row r="816" spans="1:11" ht="15.75" customHeight="1">
      <c r="A816" s="27" t="s">
        <v>241</v>
      </c>
      <c r="B816" s="27" t="s">
        <v>116</v>
      </c>
      <c r="C816" s="27" t="s">
        <v>116</v>
      </c>
      <c r="D816" s="20" t="str">
        <f>VLOOKUP(Table1[[#This Row],[Point of Origin]],Table2[#All],2,0)</f>
        <v>South Korea</v>
      </c>
      <c r="E816" s="20" t="str">
        <f>VLOOKUP(Table1[[#This Row],[Point of Origin]],Table2[#All],3,0)</f>
        <v>International</v>
      </c>
      <c r="F816" s="27" t="s">
        <v>71</v>
      </c>
      <c r="G816" s="21" t="s">
        <v>72</v>
      </c>
      <c r="H816" s="22">
        <v>44</v>
      </c>
      <c r="I816" s="22">
        <f>Table1[[#This Row],[Total Weight Imported (lbs)]]*0.453592</f>
        <v>19.958047999999998</v>
      </c>
      <c r="J816" s="23">
        <v>240.98</v>
      </c>
      <c r="K816" s="41"/>
    </row>
    <row r="817" spans="1:11" ht="15.75" customHeight="1">
      <c r="A817" s="28" t="s">
        <v>110</v>
      </c>
      <c r="B817" s="28" t="s">
        <v>111</v>
      </c>
      <c r="C817" s="28" t="s">
        <v>111</v>
      </c>
      <c r="D817" s="28" t="str">
        <f>VLOOKUP(Table1[[#This Row],[Point of Origin]],Table2[#All],2,0)</f>
        <v>New Zealand</v>
      </c>
      <c r="E817" s="28" t="str">
        <f>VLOOKUP(Table1[[#This Row],[Point of Origin]],Table2[#All],3,0)</f>
        <v>International</v>
      </c>
      <c r="F817" s="28" t="s">
        <v>65</v>
      </c>
      <c r="G817" s="21" t="s">
        <v>66</v>
      </c>
      <c r="H817" s="22">
        <v>1201</v>
      </c>
      <c r="I817" s="22">
        <f>Table1[[#This Row],[Total Weight Imported (lbs)]]*0.453592</f>
        <v>544.76399200000003</v>
      </c>
      <c r="J817" s="23">
        <v>7500</v>
      </c>
      <c r="K817" s="41"/>
    </row>
    <row r="818" spans="1:11" ht="15.75" customHeight="1">
      <c r="A818" s="27" t="s">
        <v>114</v>
      </c>
      <c r="B818" s="27" t="s">
        <v>111</v>
      </c>
      <c r="C818" s="27" t="s">
        <v>111</v>
      </c>
      <c r="D818" s="20" t="str">
        <f>VLOOKUP(Table1[[#This Row],[Point of Origin]],Table2[#All],2,0)</f>
        <v>New Zealand</v>
      </c>
      <c r="E818" s="20" t="str">
        <f>VLOOKUP(Table1[[#This Row],[Point of Origin]],Table2[#All],3,0)</f>
        <v>International</v>
      </c>
      <c r="F818" s="27" t="s">
        <v>90</v>
      </c>
      <c r="G818" s="21" t="s">
        <v>70</v>
      </c>
      <c r="H818" s="22">
        <v>298</v>
      </c>
      <c r="I818" s="22">
        <f>Table1[[#This Row],[Total Weight Imported (lbs)]]*0.453592</f>
        <v>135.17041599999999</v>
      </c>
      <c r="J818" s="23">
        <v>3735</v>
      </c>
      <c r="K818" s="1"/>
    </row>
    <row r="819" spans="1:11" ht="15.75" customHeight="1">
      <c r="A819" s="27" t="s">
        <v>114</v>
      </c>
      <c r="B819" s="27" t="s">
        <v>111</v>
      </c>
      <c r="C819" s="27" t="s">
        <v>111</v>
      </c>
      <c r="D819" s="20" t="str">
        <f>VLOOKUP(Table1[[#This Row],[Point of Origin]],Table2[#All],2,0)</f>
        <v>New Zealand</v>
      </c>
      <c r="E819" s="20" t="str">
        <f>VLOOKUP(Table1[[#This Row],[Point of Origin]],Table2[#All],3,0)</f>
        <v>International</v>
      </c>
      <c r="F819" s="20" t="s">
        <v>65</v>
      </c>
      <c r="G819" s="21" t="s">
        <v>66</v>
      </c>
      <c r="H819" s="22">
        <v>1441</v>
      </c>
      <c r="I819" s="22">
        <f>Table1[[#This Row],[Total Weight Imported (lbs)]]*0.453592</f>
        <v>653.62607200000002</v>
      </c>
      <c r="J819" s="23">
        <v>8640</v>
      </c>
      <c r="K819" s="41"/>
    </row>
    <row r="820" spans="1:11" ht="15.75" customHeight="1">
      <c r="A820" s="28" t="s">
        <v>113</v>
      </c>
      <c r="B820" s="28" t="s">
        <v>111</v>
      </c>
      <c r="C820" s="28" t="s">
        <v>111</v>
      </c>
      <c r="D820" s="28" t="str">
        <f>VLOOKUP(Table1[[#This Row],[Point of Origin]],Table2[#All],2,0)</f>
        <v>New Zealand</v>
      </c>
      <c r="E820" s="28" t="str">
        <f>VLOOKUP(Table1[[#This Row],[Point of Origin]],Table2[#All],3,0)</f>
        <v>International</v>
      </c>
      <c r="F820" s="28" t="s">
        <v>90</v>
      </c>
      <c r="G820" s="21" t="s">
        <v>70</v>
      </c>
      <c r="H820" s="22">
        <v>298</v>
      </c>
      <c r="I820" s="22">
        <f>Table1[[#This Row],[Total Weight Imported (lbs)]]*0.453592</f>
        <v>135.17041599999999</v>
      </c>
      <c r="J820" s="23">
        <v>4050</v>
      </c>
      <c r="K820" s="1"/>
    </row>
    <row r="821" spans="1:11" ht="15.75" customHeight="1">
      <c r="A821" s="28" t="s">
        <v>113</v>
      </c>
      <c r="B821" s="28" t="s">
        <v>111</v>
      </c>
      <c r="C821" s="28" t="s">
        <v>111</v>
      </c>
      <c r="D821" s="28" t="str">
        <f>VLOOKUP(Table1[[#This Row],[Point of Origin]],Table2[#All],2,0)</f>
        <v>New Zealand</v>
      </c>
      <c r="E821" s="28" t="str">
        <f>VLOOKUP(Table1[[#This Row],[Point of Origin]],Table2[#All],3,0)</f>
        <v>International</v>
      </c>
      <c r="F821" s="28" t="s">
        <v>65</v>
      </c>
      <c r="G821" s="21" t="s">
        <v>66</v>
      </c>
      <c r="H821" s="22">
        <v>1601</v>
      </c>
      <c r="I821" s="22">
        <f>Table1[[#This Row],[Total Weight Imported (lbs)]]*0.453592</f>
        <v>726.20079199999998</v>
      </c>
      <c r="J821" s="23">
        <v>10000</v>
      </c>
      <c r="K821" s="41"/>
    </row>
    <row r="822" spans="1:11" ht="15.75" customHeight="1">
      <c r="A822" s="27" t="s">
        <v>112</v>
      </c>
      <c r="B822" s="27" t="s">
        <v>111</v>
      </c>
      <c r="C822" s="27" t="s">
        <v>111</v>
      </c>
      <c r="D822" s="20" t="str">
        <f>VLOOKUP(Table1[[#This Row],[Point of Origin]],Table2[#All],2,0)</f>
        <v>New Zealand</v>
      </c>
      <c r="E822" s="20" t="str">
        <f>VLOOKUP(Table1[[#This Row],[Point of Origin]],Table2[#All],3,0)</f>
        <v>International</v>
      </c>
      <c r="F822" s="20" t="s">
        <v>65</v>
      </c>
      <c r="G822" s="21" t="s">
        <v>66</v>
      </c>
      <c r="H822" s="22">
        <v>865</v>
      </c>
      <c r="I822" s="22">
        <f>Table1[[#This Row],[Total Weight Imported (lbs)]]*0.453592</f>
        <v>392.35708</v>
      </c>
      <c r="J822" s="23">
        <v>5400</v>
      </c>
      <c r="K822" s="41"/>
    </row>
    <row r="823" spans="1:11" ht="15.75" customHeight="1">
      <c r="A823" s="28" t="s">
        <v>242</v>
      </c>
      <c r="B823" s="28" t="s">
        <v>89</v>
      </c>
      <c r="C823" s="28" t="s">
        <v>14</v>
      </c>
      <c r="D823" s="28" t="str">
        <f>VLOOKUP(Table1[[#This Row],[Point of Origin]],Table2[#All],2,0)</f>
        <v>USA</v>
      </c>
      <c r="E823" s="28" t="str">
        <f>VLOOKUP(Table1[[#This Row],[Point of Origin]],Table2[#All],3,0)</f>
        <v>Domestic</v>
      </c>
      <c r="F823" s="28" t="s">
        <v>159</v>
      </c>
      <c r="G823" s="21" t="s">
        <v>160</v>
      </c>
      <c r="H823" s="22">
        <v>7500</v>
      </c>
      <c r="I823" s="22">
        <f>Table1[[#This Row],[Total Weight Imported (lbs)]]*0.453592</f>
        <v>3401.94</v>
      </c>
      <c r="J823" s="23">
        <v>19335.8</v>
      </c>
      <c r="K823" s="1"/>
    </row>
    <row r="824" spans="1:11" ht="15.75" customHeight="1">
      <c r="A824" s="27" t="s">
        <v>243</v>
      </c>
      <c r="B824" s="27" t="s">
        <v>14</v>
      </c>
      <c r="C824" s="27" t="s">
        <v>14</v>
      </c>
      <c r="D824" s="20" t="str">
        <f>VLOOKUP(Table1[[#This Row],[Point of Origin]],Table2[#All],2,0)</f>
        <v>USA</v>
      </c>
      <c r="E824" s="20" t="str">
        <f>VLOOKUP(Table1[[#This Row],[Point of Origin]],Table2[#All],3,0)</f>
        <v>Domestic</v>
      </c>
      <c r="F824" s="27" t="s">
        <v>121</v>
      </c>
      <c r="G824" s="21" t="s">
        <v>122</v>
      </c>
      <c r="H824" s="22">
        <f>920+560+324+468+80+96+168+96+12</f>
        <v>2724</v>
      </c>
      <c r="I824" s="22">
        <f>Table1[[#This Row],[Total Weight Imported (lbs)]]*0.453592</f>
        <v>1235.5846079999999</v>
      </c>
      <c r="J824" s="23">
        <f>76.98+362.31+167.69+165.58+221.9+558.9+369.57+480.78+98.24+96.75+267.58+144.75+37.99</f>
        <v>3049.0199999999995</v>
      </c>
      <c r="K824" s="1"/>
    </row>
    <row r="825" spans="1:11" ht="15.75" customHeight="1">
      <c r="A825" s="27" t="s">
        <v>243</v>
      </c>
      <c r="B825" s="27" t="s">
        <v>46</v>
      </c>
      <c r="C825" s="27" t="s">
        <v>46</v>
      </c>
      <c r="D825" s="20" t="str">
        <f>VLOOKUP(Table1[[#This Row],[Point of Origin]],Table2[#All],2,0)</f>
        <v>Mexico</v>
      </c>
      <c r="E825" s="20" t="str">
        <f>VLOOKUP(Table1[[#This Row],[Point of Origin]],Table2[#All],3,0)</f>
        <v>International</v>
      </c>
      <c r="F825" s="27" t="s">
        <v>147</v>
      </c>
      <c r="G825" s="21" t="s">
        <v>138</v>
      </c>
      <c r="H825" s="22">
        <f>43+60+12</f>
        <v>115</v>
      </c>
      <c r="I825" s="22">
        <f>Table1[[#This Row],[Total Weight Imported (lbs)]]*0.453592</f>
        <v>52.163080000000001</v>
      </c>
      <c r="J825" s="23">
        <f>127.67+103.93+40.59</f>
        <v>272.19000000000005</v>
      </c>
      <c r="K825" s="41"/>
    </row>
    <row r="826" spans="1:11" ht="15.75" customHeight="1">
      <c r="A826" s="27" t="s">
        <v>243</v>
      </c>
      <c r="B826" s="27" t="s">
        <v>244</v>
      </c>
      <c r="C826" s="27" t="s">
        <v>244</v>
      </c>
      <c r="D826" s="20" t="str">
        <f>VLOOKUP(Table1[[#This Row],[Point of Origin]],Table2[#All],2,0)</f>
        <v>Chile</v>
      </c>
      <c r="E826" s="20" t="str">
        <f>VLOOKUP(Table1[[#This Row],[Point of Origin]],Table2[#All],3,0)</f>
        <v>International</v>
      </c>
      <c r="F826" s="27" t="s">
        <v>71</v>
      </c>
      <c r="G826" s="21" t="s">
        <v>72</v>
      </c>
      <c r="H826" s="22">
        <v>900</v>
      </c>
      <c r="I826" s="22">
        <f>Table1[[#This Row],[Total Weight Imported (lbs)]]*0.453592</f>
        <v>408.2328</v>
      </c>
      <c r="J826" s="23">
        <v>2566.4</v>
      </c>
      <c r="K826" s="41"/>
    </row>
    <row r="827" spans="1:11" ht="15.75" customHeight="1">
      <c r="A827" s="27" t="s">
        <v>243</v>
      </c>
      <c r="B827" s="27" t="s">
        <v>244</v>
      </c>
      <c r="C827" s="27" t="s">
        <v>244</v>
      </c>
      <c r="D827" s="20" t="str">
        <f>VLOOKUP(Table1[[#This Row],[Point of Origin]],Table2[#All],2,0)</f>
        <v>Chile</v>
      </c>
      <c r="E827" s="20" t="str">
        <f>VLOOKUP(Table1[[#This Row],[Point of Origin]],Table2[#All],3,0)</f>
        <v>International</v>
      </c>
      <c r="F827" s="27" t="s">
        <v>71</v>
      </c>
      <c r="G827" s="21" t="s">
        <v>72</v>
      </c>
      <c r="H827" s="22">
        <v>900</v>
      </c>
      <c r="I827" s="22">
        <f>Table1[[#This Row],[Total Weight Imported (lbs)]]*0.453592</f>
        <v>408.2328</v>
      </c>
      <c r="J827" s="23">
        <v>2566.4</v>
      </c>
      <c r="K827" s="41"/>
    </row>
    <row r="828" spans="1:11" ht="15.75" customHeight="1">
      <c r="A828" s="27" t="s">
        <v>243</v>
      </c>
      <c r="B828" s="27" t="s">
        <v>14</v>
      </c>
      <c r="C828" s="27" t="s">
        <v>14</v>
      </c>
      <c r="D828" s="20" t="str">
        <f>VLOOKUP(Table1[[#This Row],[Point of Origin]],Table2[#All],2,0)</f>
        <v>USA</v>
      </c>
      <c r="E828" s="20" t="str">
        <f>VLOOKUP(Table1[[#This Row],[Point of Origin]],Table2[#All],3,0)</f>
        <v>Domestic</v>
      </c>
      <c r="F828" s="27" t="s">
        <v>161</v>
      </c>
      <c r="G828" s="21" t="s">
        <v>162</v>
      </c>
      <c r="H828" s="22">
        <v>4900</v>
      </c>
      <c r="I828" s="22">
        <f>Table1[[#This Row],[Total Weight Imported (lbs)]]*0.453592</f>
        <v>2222.6008000000002</v>
      </c>
      <c r="J828" s="23">
        <v>3627.47</v>
      </c>
      <c r="K828" s="41"/>
    </row>
    <row r="829" spans="1:11" ht="15.75" customHeight="1">
      <c r="A829" s="27" t="s">
        <v>243</v>
      </c>
      <c r="B829" s="27" t="s">
        <v>14</v>
      </c>
      <c r="C829" s="27" t="s">
        <v>14</v>
      </c>
      <c r="D829" s="20" t="str">
        <f>VLOOKUP(Table1[[#This Row],[Point of Origin]],Table2[#All],2,0)</f>
        <v>USA</v>
      </c>
      <c r="E829" s="20" t="str">
        <f>VLOOKUP(Table1[[#This Row],[Point of Origin]],Table2[#All],3,0)</f>
        <v>Domestic</v>
      </c>
      <c r="F829" s="27" t="s">
        <v>157</v>
      </c>
      <c r="G829" s="21" t="s">
        <v>127</v>
      </c>
      <c r="H829" s="22">
        <v>280</v>
      </c>
      <c r="I829" s="22">
        <f>Table1[[#This Row],[Total Weight Imported (lbs)]]*0.453592</f>
        <v>127.00576</v>
      </c>
      <c r="J829" s="23">
        <v>255.79</v>
      </c>
      <c r="K829" s="41"/>
    </row>
    <row r="830" spans="1:11" ht="15.75" customHeight="1">
      <c r="A830" s="27" t="s">
        <v>243</v>
      </c>
      <c r="B830" s="27" t="s">
        <v>46</v>
      </c>
      <c r="C830" s="27" t="s">
        <v>46</v>
      </c>
      <c r="D830" s="20" t="str">
        <f>VLOOKUP(Table1[[#This Row],[Point of Origin]],Table2[#All],2,0)</f>
        <v>Mexico</v>
      </c>
      <c r="E830" s="20" t="str">
        <f>VLOOKUP(Table1[[#This Row],[Point of Origin]],Table2[#All],3,0)</f>
        <v>International</v>
      </c>
      <c r="F830" s="27" t="s">
        <v>158</v>
      </c>
      <c r="G830" s="21" t="s">
        <v>127</v>
      </c>
      <c r="H830" s="22">
        <v>200</v>
      </c>
      <c r="I830" s="22">
        <f>Table1[[#This Row],[Total Weight Imported (lbs)]]*0.453592</f>
        <v>90.718400000000003</v>
      </c>
      <c r="J830" s="23">
        <v>212.34</v>
      </c>
      <c r="K830" s="41"/>
    </row>
    <row r="831" spans="1:11" ht="15.75" customHeight="1">
      <c r="A831" s="27" t="s">
        <v>243</v>
      </c>
      <c r="B831" s="27" t="s">
        <v>14</v>
      </c>
      <c r="C831" s="27" t="s">
        <v>14</v>
      </c>
      <c r="D831" s="20" t="str">
        <f>VLOOKUP(Table1[[#This Row],[Point of Origin]],Table2[#All],2,0)</f>
        <v>USA</v>
      </c>
      <c r="E831" s="20" t="str">
        <f>VLOOKUP(Table1[[#This Row],[Point of Origin]],Table2[#All],3,0)</f>
        <v>Domestic</v>
      </c>
      <c r="F831" s="27" t="s">
        <v>137</v>
      </c>
      <c r="G831" s="21" t="s">
        <v>138</v>
      </c>
      <c r="H831" s="22">
        <f>106+216</f>
        <v>322</v>
      </c>
      <c r="I831" s="22">
        <f>Table1[[#This Row],[Total Weight Imported (lbs)]]*0.453592</f>
        <v>146.056624</v>
      </c>
      <c r="J831" s="23">
        <f>279.23+290.04</f>
        <v>569.27</v>
      </c>
      <c r="K831" s="1"/>
    </row>
    <row r="832" spans="1:11" ht="15.75" customHeight="1">
      <c r="A832" s="27" t="s">
        <v>243</v>
      </c>
      <c r="B832" s="27" t="s">
        <v>14</v>
      </c>
      <c r="C832" s="27" t="s">
        <v>14</v>
      </c>
      <c r="D832" s="20" t="str">
        <f>VLOOKUP(Table1[[#This Row],[Point of Origin]],Table2[#All],2,0)</f>
        <v>USA</v>
      </c>
      <c r="E832" s="20" t="str">
        <f>VLOOKUP(Table1[[#This Row],[Point of Origin]],Table2[#All],3,0)</f>
        <v>Domestic</v>
      </c>
      <c r="F832" s="27" t="s">
        <v>139</v>
      </c>
      <c r="G832" s="21" t="s">
        <v>140</v>
      </c>
      <c r="H832" s="22">
        <f>20+280</f>
        <v>300</v>
      </c>
      <c r="I832" s="22">
        <f>Table1[[#This Row],[Total Weight Imported (lbs)]]*0.453592</f>
        <v>136.07759999999999</v>
      </c>
      <c r="J832" s="23">
        <f>40.57+723.02</f>
        <v>763.59</v>
      </c>
      <c r="K832" s="41"/>
    </row>
    <row r="833" spans="1:11" ht="15.75" customHeight="1">
      <c r="A833" s="27" t="s">
        <v>243</v>
      </c>
      <c r="B833" s="27" t="s">
        <v>46</v>
      </c>
      <c r="C833" s="27" t="s">
        <v>46</v>
      </c>
      <c r="D833" s="20" t="str">
        <f>VLOOKUP(Table1[[#This Row],[Point of Origin]],Table2[#All],2,0)</f>
        <v>Mexico</v>
      </c>
      <c r="E833" s="20" t="str">
        <f>VLOOKUP(Table1[[#This Row],[Point of Origin]],Table2[#All],3,0)</f>
        <v>International</v>
      </c>
      <c r="F833" s="20" t="s">
        <v>21</v>
      </c>
      <c r="G833" s="21" t="s">
        <v>22</v>
      </c>
      <c r="H833" s="22">
        <v>25</v>
      </c>
      <c r="I833" s="22">
        <f>Table1[[#This Row],[Total Weight Imported (lbs)]]*0.453592</f>
        <v>11.3398</v>
      </c>
      <c r="J833" s="23">
        <v>38.54</v>
      </c>
      <c r="K833" s="41"/>
    </row>
    <row r="834" spans="1:11" ht="15.75" customHeight="1">
      <c r="A834" s="27" t="s">
        <v>243</v>
      </c>
      <c r="B834" s="27" t="s">
        <v>213</v>
      </c>
      <c r="C834" s="27" t="s">
        <v>213</v>
      </c>
      <c r="D834" s="20" t="str">
        <f>VLOOKUP(Table1[[#This Row],[Point of Origin]],Table2[#All],2,0)</f>
        <v>China</v>
      </c>
      <c r="E834" s="20" t="str">
        <f>VLOOKUP(Table1[[#This Row],[Point of Origin]],Table2[#All],3,0)</f>
        <v>International</v>
      </c>
      <c r="F834" s="27" t="s">
        <v>163</v>
      </c>
      <c r="G834" s="21" t="s">
        <v>164</v>
      </c>
      <c r="H834" s="22">
        <v>120</v>
      </c>
      <c r="I834" s="22">
        <f>Table1[[#This Row],[Total Weight Imported (lbs)]]*0.453592</f>
        <v>54.431039999999996</v>
      </c>
      <c r="J834" s="23">
        <v>260.10000000000002</v>
      </c>
      <c r="K834" s="41"/>
    </row>
    <row r="835" spans="1:11" ht="15.75" customHeight="1">
      <c r="A835" s="27" t="s">
        <v>243</v>
      </c>
      <c r="B835" s="27" t="s">
        <v>14</v>
      </c>
      <c r="C835" s="27" t="s">
        <v>14</v>
      </c>
      <c r="D835" s="20" t="str">
        <f>VLOOKUP(Table1[[#This Row],[Point of Origin]],Table2[#All],2,0)</f>
        <v>USA</v>
      </c>
      <c r="E835" s="20" t="str">
        <f>VLOOKUP(Table1[[#This Row],[Point of Origin]],Table2[#All],3,0)</f>
        <v>Domestic</v>
      </c>
      <c r="F835" s="20" t="s">
        <v>76</v>
      </c>
      <c r="G835" s="21" t="s">
        <v>77</v>
      </c>
      <c r="H835" s="22">
        <v>75</v>
      </c>
      <c r="I835" s="22">
        <f>Table1[[#This Row],[Total Weight Imported (lbs)]]*0.453592</f>
        <v>34.019399999999997</v>
      </c>
      <c r="J835" s="23">
        <v>115.5</v>
      </c>
      <c r="K835" s="1"/>
    </row>
    <row r="836" spans="1:11" ht="15.75" customHeight="1">
      <c r="A836" s="27" t="s">
        <v>243</v>
      </c>
      <c r="B836" s="27" t="s">
        <v>14</v>
      </c>
      <c r="C836" s="27" t="s">
        <v>14</v>
      </c>
      <c r="D836" s="20" t="str">
        <f>VLOOKUP(Table1[[#This Row],[Point of Origin]],Table2[#All],2,0)</f>
        <v>USA</v>
      </c>
      <c r="E836" s="20" t="str">
        <f>VLOOKUP(Table1[[#This Row],[Point of Origin]],Table2[#All],3,0)</f>
        <v>Domestic</v>
      </c>
      <c r="F836" s="27" t="s">
        <v>102</v>
      </c>
      <c r="G836" s="21" t="s">
        <v>32</v>
      </c>
      <c r="H836" s="22">
        <v>11</v>
      </c>
      <c r="I836" s="22">
        <f>Table1[[#This Row],[Total Weight Imported (lbs)]]*0.453592</f>
        <v>4.9895119999999995</v>
      </c>
      <c r="J836" s="23">
        <v>42.73</v>
      </c>
      <c r="K836" s="41"/>
    </row>
    <row r="837" spans="1:11" ht="15.75" customHeight="1">
      <c r="A837" s="27" t="s">
        <v>243</v>
      </c>
      <c r="B837" s="27" t="s">
        <v>14</v>
      </c>
      <c r="C837" s="27" t="s">
        <v>14</v>
      </c>
      <c r="D837" s="20" t="str">
        <f>VLOOKUP(Table1[[#This Row],[Point of Origin]],Table2[#All],2,0)</f>
        <v>USA</v>
      </c>
      <c r="E837" s="20" t="str">
        <f>VLOOKUP(Table1[[#This Row],[Point of Origin]],Table2[#All],3,0)</f>
        <v>Domestic</v>
      </c>
      <c r="F837" s="20" t="s">
        <v>19</v>
      </c>
      <c r="G837" s="21" t="s">
        <v>20</v>
      </c>
      <c r="H837" s="22">
        <f>280+14</f>
        <v>294</v>
      </c>
      <c r="I837" s="22">
        <f>Table1[[#This Row],[Total Weight Imported (lbs)]]*0.453592</f>
        <v>133.35604799999999</v>
      </c>
      <c r="J837" s="23">
        <f>427.85+36.92</f>
        <v>464.77000000000004</v>
      </c>
      <c r="K837" s="41"/>
    </row>
    <row r="838" spans="1:11" ht="15.75" customHeight="1">
      <c r="A838" s="27" t="s">
        <v>243</v>
      </c>
      <c r="B838" s="27" t="s">
        <v>14</v>
      </c>
      <c r="C838" s="27" t="s">
        <v>14</v>
      </c>
      <c r="D838" s="20" t="str">
        <f>VLOOKUP(Table1[[#This Row],[Point of Origin]],Table2[#All],2,0)</f>
        <v>USA</v>
      </c>
      <c r="E838" s="20" t="str">
        <f>VLOOKUP(Table1[[#This Row],[Point of Origin]],Table2[#All],3,0)</f>
        <v>Domestic</v>
      </c>
      <c r="F838" s="20" t="s">
        <v>82</v>
      </c>
      <c r="G838" s="21" t="s">
        <v>20</v>
      </c>
      <c r="H838" s="22">
        <f>90+210+765+45+20+20</f>
        <v>1150</v>
      </c>
      <c r="I838" s="22">
        <f>Table1[[#This Row],[Total Weight Imported (lbs)]]*0.453592</f>
        <v>521.63080000000002</v>
      </c>
      <c r="J838" s="23">
        <f>119.57+274.57+712.64+46.55+67.19</f>
        <v>1220.52</v>
      </c>
      <c r="K838" s="41"/>
    </row>
    <row r="839" spans="1:11" ht="15.75" customHeight="1">
      <c r="A839" s="27" t="s">
        <v>243</v>
      </c>
      <c r="B839" s="27" t="s">
        <v>14</v>
      </c>
      <c r="C839" s="27" t="s">
        <v>14</v>
      </c>
      <c r="D839" s="20" t="str">
        <f>VLOOKUP(Table1[[#This Row],[Point of Origin]],Table2[#All],2,0)</f>
        <v>USA</v>
      </c>
      <c r="E839" s="20" t="str">
        <f>VLOOKUP(Table1[[#This Row],[Point of Origin]],Table2[#All],3,0)</f>
        <v>Domestic</v>
      </c>
      <c r="F839" s="20" t="s">
        <v>128</v>
      </c>
      <c r="G839" s="21" t="s">
        <v>129</v>
      </c>
      <c r="H839" s="22">
        <f>700+150+120+130+130+130+130+130+850+150+200</f>
        <v>2820</v>
      </c>
      <c r="I839" s="22">
        <f>Table1[[#This Row],[Total Weight Imported (lbs)]]*0.453592</f>
        <v>1279.1294399999999</v>
      </c>
      <c r="J839" s="23">
        <f>440.34+142.21+147.87+421.89+551.7+66.91+52.4+133.81</f>
        <v>1957.13</v>
      </c>
      <c r="K839" s="41"/>
    </row>
    <row r="840" spans="1:11" ht="15.75" customHeight="1">
      <c r="A840" s="27" t="s">
        <v>243</v>
      </c>
      <c r="B840" s="27" t="s">
        <v>14</v>
      </c>
      <c r="C840" s="27" t="s">
        <v>14</v>
      </c>
      <c r="D840" s="20" t="str">
        <f>VLOOKUP(Table1[[#This Row],[Point of Origin]],Table2[#All],2,0)</f>
        <v>USA</v>
      </c>
      <c r="E840" s="20" t="str">
        <f>VLOOKUP(Table1[[#This Row],[Point of Origin]],Table2[#All],3,0)</f>
        <v>Domestic</v>
      </c>
      <c r="F840" s="20" t="s">
        <v>40</v>
      </c>
      <c r="G840" s="21" t="s">
        <v>41</v>
      </c>
      <c r="H840" s="22">
        <f>40+120</f>
        <v>160</v>
      </c>
      <c r="I840" s="22">
        <f>Table1[[#This Row],[Total Weight Imported (lbs)]]*0.453592</f>
        <v>72.574719999999999</v>
      </c>
      <c r="J840" s="23">
        <f>77.78+142.5</f>
        <v>220.28</v>
      </c>
      <c r="K840" s="41"/>
    </row>
    <row r="841" spans="1:11" ht="15.75" customHeight="1">
      <c r="A841" s="27" t="s">
        <v>243</v>
      </c>
      <c r="B841" s="27" t="s">
        <v>14</v>
      </c>
      <c r="C841" s="27" t="s">
        <v>14</v>
      </c>
      <c r="D841" s="20" t="str">
        <f>VLOOKUP(Table1[[#This Row],[Point of Origin]],Table2[#All],2,0)</f>
        <v>USA</v>
      </c>
      <c r="E841" s="20" t="str">
        <f>VLOOKUP(Table1[[#This Row],[Point of Origin]],Table2[#All],3,0)</f>
        <v>Domestic</v>
      </c>
      <c r="F841" s="20" t="s">
        <v>40</v>
      </c>
      <c r="G841" s="21" t="s">
        <v>41</v>
      </c>
      <c r="H841" s="22">
        <f>144+48+48+150+96</f>
        <v>486</v>
      </c>
      <c r="I841" s="22">
        <f>Table1[[#This Row],[Total Weight Imported (lbs)]]*0.453592</f>
        <v>220.44571199999999</v>
      </c>
      <c r="J841" s="23">
        <f>122.34+77.72+118.36+94.52</f>
        <v>412.94</v>
      </c>
      <c r="K841" s="41"/>
    </row>
    <row r="842" spans="1:11" ht="15.75" customHeight="1">
      <c r="A842" s="27" t="s">
        <v>243</v>
      </c>
      <c r="B842" s="27" t="s">
        <v>46</v>
      </c>
      <c r="C842" s="27" t="s">
        <v>46</v>
      </c>
      <c r="D842" s="20" t="str">
        <f>VLOOKUP(Table1[[#This Row],[Point of Origin]],Table2[#All],2,0)</f>
        <v>Mexico</v>
      </c>
      <c r="E842" s="20" t="str">
        <f>VLOOKUP(Table1[[#This Row],[Point of Origin]],Table2[#All],3,0)</f>
        <v>International</v>
      </c>
      <c r="F842" s="27" t="s">
        <v>63</v>
      </c>
      <c r="G842" s="21" t="s">
        <v>64</v>
      </c>
      <c r="H842" s="22">
        <f>140+140</f>
        <v>280</v>
      </c>
      <c r="I842" s="22">
        <f>Table1[[#This Row],[Total Weight Imported (lbs)]]*0.453592</f>
        <v>127.00576</v>
      </c>
      <c r="J842" s="23">
        <f>83.61+77.31+154.63</f>
        <v>315.55</v>
      </c>
      <c r="K842" s="1"/>
    </row>
    <row r="843" spans="1:11" ht="15.75" customHeight="1">
      <c r="A843" s="27" t="s">
        <v>243</v>
      </c>
      <c r="B843" s="27" t="s">
        <v>14</v>
      </c>
      <c r="C843" s="27" t="s">
        <v>14</v>
      </c>
      <c r="D843" s="20" t="str">
        <f>VLOOKUP(Table1[[#This Row],[Point of Origin]],Table2[#All],2,0)</f>
        <v>USA</v>
      </c>
      <c r="E843" s="20" t="str">
        <f>VLOOKUP(Table1[[#This Row],[Point of Origin]],Table2[#All],3,0)</f>
        <v>Domestic</v>
      </c>
      <c r="F843" s="20" t="s">
        <v>15</v>
      </c>
      <c r="G843" s="21" t="s">
        <v>16</v>
      </c>
      <c r="H843" s="22">
        <v>121</v>
      </c>
      <c r="I843" s="22">
        <f>Table1[[#This Row],[Total Weight Imported (lbs)]]*0.453592</f>
        <v>54.884631999999996</v>
      </c>
      <c r="J843" s="23">
        <v>437.43</v>
      </c>
      <c r="K843" s="41"/>
    </row>
    <row r="844" spans="1:11" ht="15.75" customHeight="1">
      <c r="A844" s="27" t="s">
        <v>243</v>
      </c>
      <c r="B844" s="27" t="s">
        <v>14</v>
      </c>
      <c r="C844" s="27" t="s">
        <v>14</v>
      </c>
      <c r="D844" s="20" t="str">
        <f>VLOOKUP(Table1[[#This Row],[Point of Origin]],Table2[#All],2,0)</f>
        <v>USA</v>
      </c>
      <c r="E844" s="20" t="str">
        <f>VLOOKUP(Table1[[#This Row],[Point of Origin]],Table2[#All],3,0)</f>
        <v>Domestic</v>
      </c>
      <c r="F844" s="27" t="s">
        <v>102</v>
      </c>
      <c r="G844" s="21" t="s">
        <v>32</v>
      </c>
      <c r="H844" s="22">
        <v>4</v>
      </c>
      <c r="I844" s="22">
        <f>Table1[[#This Row],[Total Weight Imported (lbs)]]*0.453592</f>
        <v>1.814368</v>
      </c>
      <c r="J844" s="23">
        <v>21.37</v>
      </c>
      <c r="K844" s="41"/>
    </row>
    <row r="845" spans="1:11" ht="15.75" customHeight="1">
      <c r="A845" s="27" t="s">
        <v>243</v>
      </c>
      <c r="B845" s="27" t="s">
        <v>46</v>
      </c>
      <c r="C845" s="27" t="s">
        <v>46</v>
      </c>
      <c r="D845" s="20" t="str">
        <f>VLOOKUP(Table1[[#This Row],[Point of Origin]],Table2[#All],2,0)</f>
        <v>Mexico</v>
      </c>
      <c r="E845" s="20" t="str">
        <f>VLOOKUP(Table1[[#This Row],[Point of Origin]],Table2[#All],3,0)</f>
        <v>International</v>
      </c>
      <c r="F845" s="20" t="s">
        <v>38</v>
      </c>
      <c r="G845" s="21" t="s">
        <v>39</v>
      </c>
      <c r="H845" s="22">
        <f>530+108+75+60+216+10+6+15+18</f>
        <v>1038</v>
      </c>
      <c r="I845" s="22">
        <f>Table1[[#This Row],[Total Weight Imported (lbs)]]*0.453592</f>
        <v>470.82849599999997</v>
      </c>
      <c r="J845" s="23">
        <f>638.6+372.34+220.23+216.07+172.52+254.4+37.98+39.64+43.85+118.93</f>
        <v>2114.56</v>
      </c>
      <c r="K845" s="41"/>
    </row>
    <row r="846" spans="1:11" ht="15.75" customHeight="1">
      <c r="A846" s="27" t="s">
        <v>243</v>
      </c>
      <c r="B846" s="27" t="s">
        <v>14</v>
      </c>
      <c r="C846" s="27" t="s">
        <v>14</v>
      </c>
      <c r="D846" s="20" t="str">
        <f>VLOOKUP(Table1[[#This Row],[Point of Origin]],Table2[#All],2,0)</f>
        <v>USA</v>
      </c>
      <c r="E846" s="20" t="str">
        <f>VLOOKUP(Table1[[#This Row],[Point of Origin]],Table2[#All],3,0)</f>
        <v>Domestic</v>
      </c>
      <c r="F846" s="27" t="s">
        <v>87</v>
      </c>
      <c r="G846" s="21" t="s">
        <v>20</v>
      </c>
      <c r="H846" s="22">
        <v>48</v>
      </c>
      <c r="I846" s="22">
        <f>Table1[[#This Row],[Total Weight Imported (lbs)]]*0.453592</f>
        <v>21.772416</v>
      </c>
      <c r="J846" s="23">
        <v>53.06</v>
      </c>
      <c r="K846" s="41"/>
    </row>
    <row r="847" spans="1:11" ht="15.75" customHeight="1">
      <c r="A847" s="27" t="s">
        <v>243</v>
      </c>
      <c r="B847" s="27" t="s">
        <v>14</v>
      </c>
      <c r="C847" s="27" t="s">
        <v>14</v>
      </c>
      <c r="D847" s="20" t="str">
        <f>VLOOKUP(Table1[[#This Row],[Point of Origin]],Table2[#All],2,0)</f>
        <v>USA</v>
      </c>
      <c r="E847" s="20" t="str">
        <f>VLOOKUP(Table1[[#This Row],[Point of Origin]],Table2[#All],3,0)</f>
        <v>Domestic</v>
      </c>
      <c r="F847" s="27" t="s">
        <v>56</v>
      </c>
      <c r="G847" s="21" t="s">
        <v>57</v>
      </c>
      <c r="H847" s="22">
        <f>28+5</f>
        <v>33</v>
      </c>
      <c r="I847" s="22">
        <f>Table1[[#This Row],[Total Weight Imported (lbs)]]*0.453592</f>
        <v>14.968536</v>
      </c>
      <c r="J847" s="23">
        <f>197.52+41.35</f>
        <v>238.87</v>
      </c>
      <c r="K847" s="41"/>
    </row>
    <row r="848" spans="1:11" ht="15.75" customHeight="1">
      <c r="A848" s="27" t="s">
        <v>243</v>
      </c>
      <c r="B848" s="27" t="s">
        <v>14</v>
      </c>
      <c r="C848" s="27" t="s">
        <v>14</v>
      </c>
      <c r="D848" s="20" t="str">
        <f>VLOOKUP(Table1[[#This Row],[Point of Origin]],Table2[#All],2,0)</f>
        <v>USA</v>
      </c>
      <c r="E848" s="20" t="str">
        <f>VLOOKUP(Table1[[#This Row],[Point of Origin]],Table2[#All],3,0)</f>
        <v>Domestic</v>
      </c>
      <c r="F848" s="20" t="s">
        <v>83</v>
      </c>
      <c r="G848" s="21" t="s">
        <v>32</v>
      </c>
      <c r="H848" s="22">
        <v>12</v>
      </c>
      <c r="I848" s="22">
        <f>Table1[[#This Row],[Total Weight Imported (lbs)]]*0.453592</f>
        <v>5.4431039999999999</v>
      </c>
      <c r="J848" s="23">
        <v>60.98</v>
      </c>
      <c r="K848" s="41"/>
    </row>
    <row r="849" spans="1:11" ht="15.75" customHeight="1">
      <c r="A849" s="27" t="s">
        <v>243</v>
      </c>
      <c r="B849" s="27" t="s">
        <v>14</v>
      </c>
      <c r="C849" s="27" t="s">
        <v>14</v>
      </c>
      <c r="D849" s="20" t="str">
        <f>VLOOKUP(Table1[[#This Row],[Point of Origin]],Table2[#All],2,0)</f>
        <v>USA</v>
      </c>
      <c r="E849" s="20" t="str">
        <f>VLOOKUP(Table1[[#This Row],[Point of Origin]],Table2[#All],3,0)</f>
        <v>Domestic</v>
      </c>
      <c r="F849" s="27" t="s">
        <v>135</v>
      </c>
      <c r="G849" s="21" t="s">
        <v>136</v>
      </c>
      <c r="H849" s="22">
        <v>57</v>
      </c>
      <c r="I849" s="22">
        <f>Table1[[#This Row],[Total Weight Imported (lbs)]]*0.453592</f>
        <v>25.854744</v>
      </c>
      <c r="J849" s="23">
        <v>141.19</v>
      </c>
      <c r="K849" s="41"/>
    </row>
    <row r="850" spans="1:11" ht="15.75" customHeight="1">
      <c r="A850" s="27" t="s">
        <v>243</v>
      </c>
      <c r="B850" s="27" t="s">
        <v>14</v>
      </c>
      <c r="C850" s="27" t="s">
        <v>14</v>
      </c>
      <c r="D850" s="20" t="str">
        <f>VLOOKUP(Table1[[#This Row],[Point of Origin]],Table2[#All],2,0)</f>
        <v>USA</v>
      </c>
      <c r="E850" s="20" t="str">
        <f>VLOOKUP(Table1[[#This Row],[Point of Origin]],Table2[#All],3,0)</f>
        <v>Domestic</v>
      </c>
      <c r="F850" s="27" t="s">
        <v>59</v>
      </c>
      <c r="G850" s="21" t="s">
        <v>60</v>
      </c>
      <c r="H850" s="22">
        <f>120+432+95+60+12</f>
        <v>719</v>
      </c>
      <c r="I850" s="22">
        <f>Table1[[#This Row],[Total Weight Imported (lbs)]]*0.453592</f>
        <v>326.13264800000002</v>
      </c>
      <c r="J850" s="23">
        <f>339.61+132.29+690.86+33.07+230.03+120.77+27.32</f>
        <v>1573.9499999999998</v>
      </c>
      <c r="K850" s="41"/>
    </row>
    <row r="851" spans="1:11" ht="15.75" customHeight="1">
      <c r="A851" s="27" t="s">
        <v>243</v>
      </c>
      <c r="B851" s="27" t="s">
        <v>46</v>
      </c>
      <c r="C851" s="27" t="s">
        <v>46</v>
      </c>
      <c r="D851" s="20" t="str">
        <f>VLOOKUP(Table1[[#This Row],[Point of Origin]],Table2[#All],2,0)</f>
        <v>Mexico</v>
      </c>
      <c r="E851" s="20" t="str">
        <f>VLOOKUP(Table1[[#This Row],[Point of Origin]],Table2[#All],3,0)</f>
        <v>International</v>
      </c>
      <c r="F851" s="20" t="s">
        <v>67</v>
      </c>
      <c r="G851" s="21" t="s">
        <v>68</v>
      </c>
      <c r="H851" s="22">
        <v>375</v>
      </c>
      <c r="I851" s="22">
        <f>Table1[[#This Row],[Total Weight Imported (lbs)]]*0.453592</f>
        <v>170.09700000000001</v>
      </c>
      <c r="J851" s="23">
        <v>757.43</v>
      </c>
      <c r="K851" s="41"/>
    </row>
    <row r="852" spans="1:11" ht="15.75" customHeight="1">
      <c r="A852" s="27" t="s">
        <v>243</v>
      </c>
      <c r="B852" s="27" t="s">
        <v>14</v>
      </c>
      <c r="C852" s="27" t="s">
        <v>14</v>
      </c>
      <c r="D852" s="20" t="str">
        <f>VLOOKUP(Table1[[#This Row],[Point of Origin]],Table2[#All],2,0)</f>
        <v>USA</v>
      </c>
      <c r="E852" s="20" t="str">
        <f>VLOOKUP(Table1[[#This Row],[Point of Origin]],Table2[#All],3,0)</f>
        <v>Domestic</v>
      </c>
      <c r="F852" s="20" t="s">
        <v>130</v>
      </c>
      <c r="G852" s="21" t="s">
        <v>131</v>
      </c>
      <c r="H852" s="22">
        <v>2040</v>
      </c>
      <c r="I852" s="22">
        <f>Table1[[#This Row],[Total Weight Imported (lbs)]]*0.453592</f>
        <v>925.32767999999999</v>
      </c>
      <c r="J852" s="23">
        <v>4790</v>
      </c>
      <c r="K852" s="1"/>
    </row>
    <row r="853" spans="1:11" ht="15.75" customHeight="1">
      <c r="A853" s="27" t="s">
        <v>243</v>
      </c>
      <c r="B853" s="27" t="s">
        <v>88</v>
      </c>
      <c r="C853" s="27" t="s">
        <v>88</v>
      </c>
      <c r="D853" s="20" t="str">
        <f>VLOOKUP(Table1[[#This Row],[Point of Origin]],Table2[#All],2,0)</f>
        <v>Canada</v>
      </c>
      <c r="E853" s="20" t="str">
        <f>VLOOKUP(Table1[[#This Row],[Point of Origin]],Table2[#All],3,0)</f>
        <v>International</v>
      </c>
      <c r="F853" s="20" t="s">
        <v>36</v>
      </c>
      <c r="G853" s="21" t="s">
        <v>37</v>
      </c>
      <c r="H853" s="22">
        <f>6+12</f>
        <v>18</v>
      </c>
      <c r="I853" s="22">
        <f>Table1[[#This Row],[Total Weight Imported (lbs)]]*0.453592</f>
        <v>8.1646560000000008</v>
      </c>
      <c r="J853" s="23">
        <f>18.95+20.69</f>
        <v>39.64</v>
      </c>
      <c r="K853" s="1"/>
    </row>
    <row r="854" spans="1:11" ht="15.75" customHeight="1">
      <c r="A854" s="27" t="s">
        <v>243</v>
      </c>
      <c r="B854" s="27" t="s">
        <v>245</v>
      </c>
      <c r="C854" s="27" t="s">
        <v>245</v>
      </c>
      <c r="D854" s="20" t="str">
        <f>VLOOKUP(Table1[[#This Row],[Point of Origin]],Table2[#All],2,0)</f>
        <v>Costa Rica</v>
      </c>
      <c r="E854" s="20" t="str">
        <f>VLOOKUP(Table1[[#This Row],[Point of Origin]],Table2[#All],3,0)</f>
        <v>International</v>
      </c>
      <c r="F854" s="27" t="s">
        <v>159</v>
      </c>
      <c r="G854" s="21" t="s">
        <v>160</v>
      </c>
      <c r="H854" s="22">
        <v>140</v>
      </c>
      <c r="I854" s="22">
        <f>Table1[[#This Row],[Total Weight Imported (lbs)]]*0.453592</f>
        <v>63.502879999999998</v>
      </c>
      <c r="J854" s="23">
        <v>235.23</v>
      </c>
      <c r="K854" s="1"/>
    </row>
    <row r="855" spans="1:11" ht="15.75" customHeight="1">
      <c r="A855" s="27" t="s">
        <v>243</v>
      </c>
      <c r="B855" s="27" t="s">
        <v>46</v>
      </c>
      <c r="C855" s="27" t="s">
        <v>46</v>
      </c>
      <c r="D855" s="20" t="str">
        <f>VLOOKUP(Table1[[#This Row],[Point of Origin]],Table2[#All],2,0)</f>
        <v>Mexico</v>
      </c>
      <c r="E855" s="20" t="str">
        <f>VLOOKUP(Table1[[#This Row],[Point of Origin]],Table2[#All],3,0)</f>
        <v>International</v>
      </c>
      <c r="F855" s="20" t="s">
        <v>81</v>
      </c>
      <c r="G855" s="21" t="s">
        <v>62</v>
      </c>
      <c r="H855" s="22">
        <f>172+108+464+100</f>
        <v>844</v>
      </c>
      <c r="I855" s="22">
        <f>Table1[[#This Row],[Total Weight Imported (lbs)]]*0.453592</f>
        <v>382.83164799999997</v>
      </c>
      <c r="J855" s="23">
        <f>638.99+264.51+128.58+89.72+309.56+134.8</f>
        <v>1566.1599999999999</v>
      </c>
      <c r="K855" s="41"/>
    </row>
    <row r="856" spans="1:11" ht="15.75" customHeight="1">
      <c r="A856" s="27" t="s">
        <v>243</v>
      </c>
      <c r="B856" s="27" t="s">
        <v>46</v>
      </c>
      <c r="C856" s="27" t="s">
        <v>46</v>
      </c>
      <c r="D856" s="20" t="str">
        <f>VLOOKUP(Table1[[#This Row],[Point of Origin]],Table2[#All],2,0)</f>
        <v>Mexico</v>
      </c>
      <c r="E856" s="20" t="str">
        <f>VLOOKUP(Table1[[#This Row],[Point of Origin]],Table2[#All],3,0)</f>
        <v>International</v>
      </c>
      <c r="F856" s="20" t="s">
        <v>81</v>
      </c>
      <c r="G856" s="21" t="s">
        <v>62</v>
      </c>
      <c r="H856" s="22">
        <f>80+60</f>
        <v>140</v>
      </c>
      <c r="I856" s="22">
        <f>Table1[[#This Row],[Total Weight Imported (lbs)]]*0.453592</f>
        <v>63.502879999999998</v>
      </c>
      <c r="J856" s="23">
        <f>134.58+103.93</f>
        <v>238.51000000000002</v>
      </c>
      <c r="K856" s="41"/>
    </row>
    <row r="857" spans="1:11" ht="15.75" customHeight="1">
      <c r="A857" s="27" t="s">
        <v>243</v>
      </c>
      <c r="B857" s="27" t="s">
        <v>14</v>
      </c>
      <c r="C857" s="27" t="s">
        <v>14</v>
      </c>
      <c r="D857" s="20" t="str">
        <f>VLOOKUP(Table1[[#This Row],[Point of Origin]],Table2[#All],2,0)</f>
        <v>USA</v>
      </c>
      <c r="E857" s="20" t="str">
        <f>VLOOKUP(Table1[[#This Row],[Point of Origin]],Table2[#All],3,0)</f>
        <v>Domestic</v>
      </c>
      <c r="F857" s="20" t="s">
        <v>79</v>
      </c>
      <c r="G857" s="21" t="s">
        <v>80</v>
      </c>
      <c r="H857" s="22">
        <v>132</v>
      </c>
      <c r="I857" s="22">
        <f>Table1[[#This Row],[Total Weight Imported (lbs)]]*0.453592</f>
        <v>59.874144000000001</v>
      </c>
      <c r="J857" s="23">
        <v>117.71</v>
      </c>
      <c r="K857" s="1"/>
    </row>
    <row r="858" spans="1:11" ht="15.75" customHeight="1">
      <c r="A858" s="27" t="s">
        <v>243</v>
      </c>
      <c r="B858" s="27" t="s">
        <v>14</v>
      </c>
      <c r="C858" s="27" t="s">
        <v>14</v>
      </c>
      <c r="D858" s="20" t="str">
        <f>VLOOKUP(Table1[[#This Row],[Point of Origin]],Table2[#All],2,0)</f>
        <v>USA</v>
      </c>
      <c r="E858" s="20" t="str">
        <f>VLOOKUP(Table1[[#This Row],[Point of Origin]],Table2[#All],3,0)</f>
        <v>Domestic</v>
      </c>
      <c r="F858" s="27" t="s">
        <v>246</v>
      </c>
      <c r="G858" s="21" t="s">
        <v>247</v>
      </c>
      <c r="H858" s="22">
        <v>96</v>
      </c>
      <c r="I858" s="22">
        <f>Table1[[#This Row],[Total Weight Imported (lbs)]]*0.453592</f>
        <v>43.544832</v>
      </c>
      <c r="J858" s="23">
        <v>233.07</v>
      </c>
      <c r="K858" s="1"/>
    </row>
    <row r="859" spans="1:11" ht="15.75" customHeight="1">
      <c r="A859" s="27" t="s">
        <v>243</v>
      </c>
      <c r="B859" s="27" t="s">
        <v>46</v>
      </c>
      <c r="C859" s="27" t="s">
        <v>46</v>
      </c>
      <c r="D859" s="20" t="str">
        <f>VLOOKUP(Table1[[#This Row],[Point of Origin]],Table2[#All],2,0)</f>
        <v>Mexico</v>
      </c>
      <c r="E859" s="20" t="str">
        <f>VLOOKUP(Table1[[#This Row],[Point of Origin]],Table2[#All],3,0)</f>
        <v>International</v>
      </c>
      <c r="F859" s="27" t="s">
        <v>137</v>
      </c>
      <c r="G859" s="21" t="s">
        <v>138</v>
      </c>
      <c r="H859" s="22">
        <v>36</v>
      </c>
      <c r="I859" s="22">
        <f>Table1[[#This Row],[Total Weight Imported (lbs)]]*0.453592</f>
        <v>16.329312000000002</v>
      </c>
      <c r="J859" s="23">
        <v>47.58</v>
      </c>
      <c r="K859" s="1"/>
    </row>
    <row r="860" spans="1:11" ht="15.75" customHeight="1">
      <c r="A860" s="27" t="s">
        <v>243</v>
      </c>
      <c r="B860" s="27" t="s">
        <v>14</v>
      </c>
      <c r="C860" s="27" t="s">
        <v>14</v>
      </c>
      <c r="D860" s="20" t="str">
        <f>VLOOKUP(Table1[[#This Row],[Point of Origin]],Table2[#All],2,0)</f>
        <v>USA</v>
      </c>
      <c r="E860" s="20" t="str">
        <f>VLOOKUP(Table1[[#This Row],[Point of Origin]],Table2[#All],3,0)</f>
        <v>Domestic</v>
      </c>
      <c r="F860" s="20" t="s">
        <v>143</v>
      </c>
      <c r="G860" s="21" t="s">
        <v>144</v>
      </c>
      <c r="H860" s="22">
        <v>120</v>
      </c>
      <c r="I860" s="22">
        <f>Table1[[#This Row],[Total Weight Imported (lbs)]]*0.453592</f>
        <v>54.431039999999996</v>
      </c>
      <c r="J860" s="23">
        <v>203.57</v>
      </c>
      <c r="K860" s="41"/>
    </row>
    <row r="861" spans="1:11" ht="15.75" customHeight="1">
      <c r="A861" s="27" t="s">
        <v>243</v>
      </c>
      <c r="B861" s="27" t="s">
        <v>14</v>
      </c>
      <c r="C861" s="27" t="s">
        <v>14</v>
      </c>
      <c r="D861" s="20" t="str">
        <f>VLOOKUP(Table1[[#This Row],[Point of Origin]],Table2[#All],2,0)</f>
        <v>USA</v>
      </c>
      <c r="E861" s="20" t="str">
        <f>VLOOKUP(Table1[[#This Row],[Point of Origin]],Table2[#All],3,0)</f>
        <v>Domestic</v>
      </c>
      <c r="F861" s="20" t="s">
        <v>154</v>
      </c>
      <c r="G861" s="21" t="s">
        <v>155</v>
      </c>
      <c r="H861" s="22">
        <v>96</v>
      </c>
      <c r="I861" s="22">
        <f>Table1[[#This Row],[Total Weight Imported (lbs)]]*0.453592</f>
        <v>43.544832</v>
      </c>
      <c r="J861" s="23">
        <v>152.91</v>
      </c>
      <c r="K861" s="1"/>
    </row>
    <row r="862" spans="1:11" ht="15.75" customHeight="1">
      <c r="A862" s="27" t="s">
        <v>243</v>
      </c>
      <c r="B862" s="27" t="s">
        <v>46</v>
      </c>
      <c r="C862" s="27" t="s">
        <v>46</v>
      </c>
      <c r="D862" s="20" t="str">
        <f>VLOOKUP(Table1[[#This Row],[Point of Origin]],Table2[#All],2,0)</f>
        <v>Mexico</v>
      </c>
      <c r="E862" s="20" t="str">
        <f>VLOOKUP(Table1[[#This Row],[Point of Origin]],Table2[#All],3,0)</f>
        <v>International</v>
      </c>
      <c r="F862" s="27" t="s">
        <v>96</v>
      </c>
      <c r="G862" s="21" t="s">
        <v>97</v>
      </c>
      <c r="H862" s="22">
        <v>12</v>
      </c>
      <c r="I862" s="22">
        <f>Table1[[#This Row],[Total Weight Imported (lbs)]]*0.453592</f>
        <v>5.4431039999999999</v>
      </c>
      <c r="J862" s="23">
        <v>24.31</v>
      </c>
      <c r="K862" s="1"/>
    </row>
    <row r="863" spans="1:11" ht="15.75" customHeight="1">
      <c r="A863" s="27" t="s">
        <v>243</v>
      </c>
      <c r="B863" s="27" t="s">
        <v>14</v>
      </c>
      <c r="C863" s="27" t="s">
        <v>14</v>
      </c>
      <c r="D863" s="20" t="str">
        <f>VLOOKUP(Table1[[#This Row],[Point of Origin]],Table2[#All],2,0)</f>
        <v>USA</v>
      </c>
      <c r="E863" s="20" t="str">
        <f>VLOOKUP(Table1[[#This Row],[Point of Origin]],Table2[#All],3,0)</f>
        <v>Domestic</v>
      </c>
      <c r="F863" s="27" t="s">
        <v>248</v>
      </c>
      <c r="G863" s="21" t="s">
        <v>249</v>
      </c>
      <c r="H863" s="22">
        <v>144</v>
      </c>
      <c r="I863" s="22">
        <f>Table1[[#This Row],[Total Weight Imported (lbs)]]*0.453592</f>
        <v>65.317248000000006</v>
      </c>
      <c r="J863" s="23">
        <v>322.77999999999997</v>
      </c>
      <c r="K863" s="1"/>
    </row>
    <row r="864" spans="1:11" ht="15.75" customHeight="1">
      <c r="A864" s="28" t="s">
        <v>250</v>
      </c>
      <c r="B864" s="28" t="s">
        <v>251</v>
      </c>
      <c r="C864" s="28" t="s">
        <v>14</v>
      </c>
      <c r="D864" s="28" t="str">
        <f>VLOOKUP(Table1[[#This Row],[Point of Origin]],Table2[#All],2,0)</f>
        <v>USA</v>
      </c>
      <c r="E864" s="28" t="str">
        <f>VLOOKUP(Table1[[#This Row],[Point of Origin]],Table2[#All],3,0)</f>
        <v>Domestic</v>
      </c>
      <c r="F864" s="28" t="s">
        <v>82</v>
      </c>
      <c r="G864" s="21" t="s">
        <v>20</v>
      </c>
      <c r="H864" s="22">
        <v>529</v>
      </c>
      <c r="I864" s="22">
        <f>Table1[[#This Row],[Total Weight Imported (lbs)]]*0.453592</f>
        <v>239.95016799999999</v>
      </c>
      <c r="J864" s="23">
        <v>3948</v>
      </c>
      <c r="K864" s="41"/>
    </row>
    <row r="865" spans="1:11" ht="15.75" customHeight="1">
      <c r="A865" s="27" t="s">
        <v>252</v>
      </c>
      <c r="B865" s="27" t="s">
        <v>28</v>
      </c>
      <c r="C865" s="27" t="s">
        <v>14</v>
      </c>
      <c r="D865" s="20" t="str">
        <f>VLOOKUP(Table1[[#This Row],[Point of Origin]],Table2[#All],2,0)</f>
        <v>USA</v>
      </c>
      <c r="E865" s="20" t="str">
        <f>VLOOKUP(Table1[[#This Row],[Point of Origin]],Table2[#All],3,0)</f>
        <v>Domestic</v>
      </c>
      <c r="F865" s="27" t="s">
        <v>151</v>
      </c>
      <c r="G865" s="21" t="s">
        <v>152</v>
      </c>
      <c r="H865" s="22">
        <v>36480</v>
      </c>
      <c r="I865" s="22">
        <f>Table1[[#This Row],[Total Weight Imported (lbs)]]*0.453592</f>
        <v>16547.03616</v>
      </c>
      <c r="J865" s="23">
        <v>15868.8</v>
      </c>
      <c r="K865" s="41"/>
    </row>
    <row r="866" spans="1:11" ht="15.75" customHeight="1">
      <c r="A866" s="28" t="s">
        <v>253</v>
      </c>
      <c r="B866" s="28" t="s">
        <v>28</v>
      </c>
      <c r="C866" s="28" t="s">
        <v>14</v>
      </c>
      <c r="D866" s="28" t="str">
        <f>VLOOKUP(Table1[[#This Row],[Point of Origin]],Table2[#All],2,0)</f>
        <v>USA</v>
      </c>
      <c r="E866" s="28" t="str">
        <f>VLOOKUP(Table1[[#This Row],[Point of Origin]],Table2[#All],3,0)</f>
        <v>Domestic</v>
      </c>
      <c r="F866" s="36" t="s">
        <v>151</v>
      </c>
      <c r="G866" s="21" t="s">
        <v>152</v>
      </c>
      <c r="H866" s="22">
        <v>36480</v>
      </c>
      <c r="I866" s="22">
        <f>Table1[[#This Row],[Total Weight Imported (lbs)]]*0.453592</f>
        <v>16547.03616</v>
      </c>
      <c r="J866" s="23">
        <v>15868.8</v>
      </c>
      <c r="K866" s="41"/>
    </row>
    <row r="867" spans="1:11" ht="15.75" customHeight="1">
      <c r="A867" s="27" t="s">
        <v>254</v>
      </c>
      <c r="B867" s="27" t="s">
        <v>28</v>
      </c>
      <c r="C867" s="27" t="s">
        <v>14</v>
      </c>
      <c r="D867" s="20" t="str">
        <f>VLOOKUP(Table1[[#This Row],[Point of Origin]],Table2[#All],2,0)</f>
        <v>USA</v>
      </c>
      <c r="E867" s="20" t="str">
        <f>VLOOKUP(Table1[[#This Row],[Point of Origin]],Table2[#All],3,0)</f>
        <v>Domestic</v>
      </c>
      <c r="F867" s="27" t="s">
        <v>71</v>
      </c>
      <c r="G867" s="21" t="s">
        <v>72</v>
      </c>
      <c r="H867" s="22">
        <v>720</v>
      </c>
      <c r="I867" s="22">
        <f>Table1[[#This Row],[Total Weight Imported (lbs)]]*0.453592</f>
        <v>326.58623999999998</v>
      </c>
      <c r="J867" s="23">
        <v>1800</v>
      </c>
      <c r="K867" s="41"/>
    </row>
    <row r="868" spans="1:11" ht="15.75" customHeight="1">
      <c r="A868" s="27" t="s">
        <v>254</v>
      </c>
      <c r="B868" s="27" t="s">
        <v>28</v>
      </c>
      <c r="C868" s="27" t="s">
        <v>14</v>
      </c>
      <c r="D868" s="20" t="str">
        <f>VLOOKUP(Table1[[#This Row],[Point of Origin]],Table2[#All],2,0)</f>
        <v>USA</v>
      </c>
      <c r="E868" s="20" t="str">
        <f>VLOOKUP(Table1[[#This Row],[Point of Origin]],Table2[#All],3,0)</f>
        <v>Domestic</v>
      </c>
      <c r="F868" s="20" t="s">
        <v>143</v>
      </c>
      <c r="G868" s="21" t="s">
        <v>144</v>
      </c>
      <c r="H868" s="22">
        <v>750</v>
      </c>
      <c r="I868" s="22">
        <f>Table1[[#This Row],[Total Weight Imported (lbs)]]*0.453592</f>
        <v>340.19400000000002</v>
      </c>
      <c r="J868" s="23">
        <v>896.4</v>
      </c>
      <c r="K868" s="41"/>
    </row>
    <row r="869" spans="1:11" ht="15.75" customHeight="1">
      <c r="A869" s="27" t="s">
        <v>254</v>
      </c>
      <c r="B869" s="27" t="s">
        <v>28</v>
      </c>
      <c r="C869" s="27" t="s">
        <v>14</v>
      </c>
      <c r="D869" s="20" t="str">
        <f>VLOOKUP(Table1[[#This Row],[Point of Origin]],Table2[#All],2,0)</f>
        <v>USA</v>
      </c>
      <c r="E869" s="20" t="str">
        <f>VLOOKUP(Table1[[#This Row],[Point of Origin]],Table2[#All],3,0)</f>
        <v>Domestic</v>
      </c>
      <c r="F869" s="20" t="s">
        <v>48</v>
      </c>
      <c r="G869" s="21" t="s">
        <v>49</v>
      </c>
      <c r="H869" s="22">
        <v>2800</v>
      </c>
      <c r="I869" s="22">
        <f>Table1[[#This Row],[Total Weight Imported (lbs)]]*0.453592</f>
        <v>1270.0576000000001</v>
      </c>
      <c r="J869" s="23">
        <v>6828.5</v>
      </c>
      <c r="K869" s="41"/>
    </row>
    <row r="870" spans="1:11" ht="15.75" customHeight="1">
      <c r="A870" s="27" t="s">
        <v>254</v>
      </c>
      <c r="B870" s="27" t="s">
        <v>28</v>
      </c>
      <c r="C870" s="27" t="s">
        <v>14</v>
      </c>
      <c r="D870" s="20" t="str">
        <f>VLOOKUP(Table1[[#This Row],[Point of Origin]],Table2[#All],2,0)</f>
        <v>USA</v>
      </c>
      <c r="E870" s="20" t="str">
        <f>VLOOKUP(Table1[[#This Row],[Point of Origin]],Table2[#All],3,0)</f>
        <v>Domestic</v>
      </c>
      <c r="F870" s="27" t="s">
        <v>158</v>
      </c>
      <c r="G870" s="21" t="s">
        <v>127</v>
      </c>
      <c r="H870" s="22">
        <v>2750</v>
      </c>
      <c r="I870" s="22">
        <f>Table1[[#This Row],[Total Weight Imported (lbs)]]*0.453592</f>
        <v>1247.3779999999999</v>
      </c>
      <c r="J870" s="23">
        <v>1664.3</v>
      </c>
      <c r="K870" s="41"/>
    </row>
    <row r="871" spans="1:11" ht="15.75" customHeight="1">
      <c r="A871" s="27" t="s">
        <v>254</v>
      </c>
      <c r="B871" s="27" t="s">
        <v>28</v>
      </c>
      <c r="C871" s="27" t="s">
        <v>14</v>
      </c>
      <c r="D871" s="20" t="str">
        <f>VLOOKUP(Table1[[#This Row],[Point of Origin]],Table2[#All],2,0)</f>
        <v>USA</v>
      </c>
      <c r="E871" s="20" t="str">
        <f>VLOOKUP(Table1[[#This Row],[Point of Origin]],Table2[#All],3,0)</f>
        <v>Domestic</v>
      </c>
      <c r="F871" s="27" t="s">
        <v>228</v>
      </c>
      <c r="G871" s="21" t="s">
        <v>127</v>
      </c>
      <c r="H871" s="22">
        <v>1500</v>
      </c>
      <c r="I871" s="22">
        <f>Table1[[#This Row],[Total Weight Imported (lbs)]]*0.453592</f>
        <v>680.38800000000003</v>
      </c>
      <c r="J871" s="23">
        <v>1200</v>
      </c>
      <c r="K871" s="1"/>
    </row>
    <row r="872" spans="1:11" ht="15.75" customHeight="1">
      <c r="A872" s="27" t="s">
        <v>254</v>
      </c>
      <c r="B872" s="27" t="s">
        <v>28</v>
      </c>
      <c r="C872" s="27" t="s">
        <v>14</v>
      </c>
      <c r="D872" s="20" t="str">
        <f>VLOOKUP(Table1[[#This Row],[Point of Origin]],Table2[#All],2,0)</f>
        <v>USA</v>
      </c>
      <c r="E872" s="20" t="str">
        <f>VLOOKUP(Table1[[#This Row],[Point of Origin]],Table2[#All],3,0)</f>
        <v>Domestic</v>
      </c>
      <c r="F872" s="27" t="s">
        <v>161</v>
      </c>
      <c r="G872" s="21" t="s">
        <v>162</v>
      </c>
      <c r="H872" s="22">
        <f>245+18000</f>
        <v>18245</v>
      </c>
      <c r="I872" s="22">
        <f>Table1[[#This Row],[Total Weight Imported (lbs)]]*0.453592</f>
        <v>8275.786039999999</v>
      </c>
      <c r="J872" s="23">
        <f>136.57+6438.96</f>
        <v>6575.53</v>
      </c>
      <c r="K872" s="41"/>
    </row>
    <row r="873" spans="1:11" ht="15.75" customHeight="1">
      <c r="A873" s="27" t="s">
        <v>254</v>
      </c>
      <c r="B873" s="27" t="s">
        <v>28</v>
      </c>
      <c r="C873" s="27" t="s">
        <v>14</v>
      </c>
      <c r="D873" s="20" t="str">
        <f>VLOOKUP(Table1[[#This Row],[Point of Origin]],Table2[#All],2,0)</f>
        <v>USA</v>
      </c>
      <c r="E873" s="20" t="str">
        <f>VLOOKUP(Table1[[#This Row],[Point of Origin]],Table2[#All],3,0)</f>
        <v>Domestic</v>
      </c>
      <c r="F873" s="20" t="s">
        <v>81</v>
      </c>
      <c r="G873" s="21" t="s">
        <v>62</v>
      </c>
      <c r="H873" s="22">
        <f>1650+336+198+1325+198</f>
        <v>3707</v>
      </c>
      <c r="I873" s="22">
        <f>Table1[[#This Row],[Total Weight Imported (lbs)]]*0.453592</f>
        <v>1681.4655439999999</v>
      </c>
      <c r="J873" s="23">
        <f>3622.08+1195.04+669.6+3554.71+669.6</f>
        <v>9711.0300000000007</v>
      </c>
      <c r="K873" s="41"/>
    </row>
    <row r="874" spans="1:11" ht="15.75" customHeight="1">
      <c r="A874" s="27" t="s">
        <v>254</v>
      </c>
      <c r="B874" s="27" t="s">
        <v>28</v>
      </c>
      <c r="C874" s="27" t="s">
        <v>14</v>
      </c>
      <c r="D874" s="20" t="str">
        <f>VLOOKUP(Table1[[#This Row],[Point of Origin]],Table2[#All],2,0)</f>
        <v>USA</v>
      </c>
      <c r="E874" s="20" t="str">
        <f>VLOOKUP(Table1[[#This Row],[Point of Origin]],Table2[#All],3,0)</f>
        <v>Domestic</v>
      </c>
      <c r="F874" s="20" t="s">
        <v>38</v>
      </c>
      <c r="G874" s="21" t="s">
        <v>39</v>
      </c>
      <c r="H874" s="22">
        <f>2625+360+870+2850</f>
        <v>6705</v>
      </c>
      <c r="I874" s="22">
        <f>Table1[[#This Row],[Total Weight Imported (lbs)]]*0.453592</f>
        <v>3041.3343599999998</v>
      </c>
      <c r="J874" s="23">
        <f>5601.75+687.84+1662.28+3070.4</f>
        <v>11022.27</v>
      </c>
      <c r="K874" s="41"/>
    </row>
    <row r="875" spans="1:11" ht="15.75" customHeight="1">
      <c r="A875" s="28" t="s">
        <v>255</v>
      </c>
      <c r="B875" s="28" t="s">
        <v>28</v>
      </c>
      <c r="C875" s="28" t="s">
        <v>14</v>
      </c>
      <c r="D875" s="28" t="str">
        <f>VLOOKUP(Table1[[#This Row],[Point of Origin]],Table2[#All],2,0)</f>
        <v>USA</v>
      </c>
      <c r="E875" s="28" t="str">
        <f>VLOOKUP(Table1[[#This Row],[Point of Origin]],Table2[#All],3,0)</f>
        <v>Domestic</v>
      </c>
      <c r="F875" s="28" t="s">
        <v>15</v>
      </c>
      <c r="G875" s="21" t="s">
        <v>16</v>
      </c>
      <c r="H875" s="22">
        <v>605</v>
      </c>
      <c r="I875" s="22">
        <f>Table1[[#This Row],[Total Weight Imported (lbs)]]*0.453592</f>
        <v>274.42316</v>
      </c>
      <c r="J875" s="23">
        <v>2146.1</v>
      </c>
      <c r="K875" s="41"/>
    </row>
    <row r="876" spans="1:11" ht="15.75" customHeight="1">
      <c r="A876" s="28" t="s">
        <v>255</v>
      </c>
      <c r="B876" s="28" t="s">
        <v>28</v>
      </c>
      <c r="C876" s="28" t="s">
        <v>14</v>
      </c>
      <c r="D876" s="28" t="str">
        <f>VLOOKUP(Table1[[#This Row],[Point of Origin]],Table2[#All],2,0)</f>
        <v>USA</v>
      </c>
      <c r="E876" s="28" t="str">
        <f>VLOOKUP(Table1[[#This Row],[Point of Origin]],Table2[#All],3,0)</f>
        <v>Domestic</v>
      </c>
      <c r="F876" s="28" t="s">
        <v>124</v>
      </c>
      <c r="G876" s="21" t="s">
        <v>30</v>
      </c>
      <c r="H876" s="22">
        <v>250</v>
      </c>
      <c r="I876" s="22">
        <f>Table1[[#This Row],[Total Weight Imported (lbs)]]*0.453592</f>
        <v>113.398</v>
      </c>
      <c r="J876" s="23">
        <f>36.59+170.1</f>
        <v>206.69</v>
      </c>
      <c r="K876" s="41"/>
    </row>
    <row r="877" spans="1:11" ht="15.75" customHeight="1">
      <c r="A877" s="28" t="s">
        <v>255</v>
      </c>
      <c r="B877" s="28" t="s">
        <v>28</v>
      </c>
      <c r="C877" s="28" t="s">
        <v>14</v>
      </c>
      <c r="D877" s="28" t="str">
        <f>VLOOKUP(Table1[[#This Row],[Point of Origin]],Table2[#All],2,0)</f>
        <v>USA</v>
      </c>
      <c r="E877" s="28" t="str">
        <f>VLOOKUP(Table1[[#This Row],[Point of Origin]],Table2[#All],3,0)</f>
        <v>Domestic</v>
      </c>
      <c r="F877" s="28" t="s">
        <v>19</v>
      </c>
      <c r="G877" s="21" t="s">
        <v>20</v>
      </c>
      <c r="H877" s="22">
        <f>28+2376</f>
        <v>2404</v>
      </c>
      <c r="I877" s="22">
        <f>Table1[[#This Row],[Total Weight Imported (lbs)]]*0.453592</f>
        <v>1090.435168</v>
      </c>
      <c r="J877" s="23">
        <f>85.37+4668.84</f>
        <v>4754.21</v>
      </c>
      <c r="K877" s="41"/>
    </row>
    <row r="878" spans="1:11" ht="15.75" customHeight="1">
      <c r="A878" s="28" t="s">
        <v>255</v>
      </c>
      <c r="B878" s="28" t="s">
        <v>28</v>
      </c>
      <c r="C878" s="28" t="s">
        <v>14</v>
      </c>
      <c r="D878" s="28" t="str">
        <f>VLOOKUP(Table1[[#This Row],[Point of Origin]],Table2[#All],2,0)</f>
        <v>USA</v>
      </c>
      <c r="E878" s="28" t="str">
        <f>VLOOKUP(Table1[[#This Row],[Point of Origin]],Table2[#All],3,0)</f>
        <v>Domestic</v>
      </c>
      <c r="F878" s="28" t="s">
        <v>21</v>
      </c>
      <c r="G878" s="21" t="s">
        <v>22</v>
      </c>
      <c r="H878" s="22">
        <v>275</v>
      </c>
      <c r="I878" s="22">
        <f>Table1[[#This Row],[Total Weight Imported (lbs)]]*0.453592</f>
        <v>124.73779999999999</v>
      </c>
      <c r="J878" s="23">
        <v>375.65</v>
      </c>
      <c r="K878" s="41"/>
    </row>
    <row r="879" spans="1:11" ht="15.75" customHeight="1">
      <c r="A879" s="28" t="s">
        <v>255</v>
      </c>
      <c r="B879" s="28" t="s">
        <v>28</v>
      </c>
      <c r="C879" s="28" t="s">
        <v>14</v>
      </c>
      <c r="D879" s="28" t="str">
        <f>VLOOKUP(Table1[[#This Row],[Point of Origin]],Table2[#All],2,0)</f>
        <v>USA</v>
      </c>
      <c r="E879" s="28" t="str">
        <f>VLOOKUP(Table1[[#This Row],[Point of Origin]],Table2[#All],3,0)</f>
        <v>Domestic</v>
      </c>
      <c r="F879" s="28" t="s">
        <v>82</v>
      </c>
      <c r="G879" s="21" t="s">
        <v>20</v>
      </c>
      <c r="H879" s="22">
        <f>1950+7425+980+250+30+2380</f>
        <v>13015</v>
      </c>
      <c r="I879" s="22">
        <f>Table1[[#This Row],[Total Weight Imported (lbs)]]*0.453592</f>
        <v>5903.4998800000003</v>
      </c>
      <c r="J879" s="23">
        <f>1093.95+4456.35+1152.55+161.6+36.59+2539.8</f>
        <v>9440.84</v>
      </c>
      <c r="K879" s="41"/>
    </row>
    <row r="880" spans="1:11" ht="15.75" customHeight="1">
      <c r="A880" s="28" t="s">
        <v>255</v>
      </c>
      <c r="B880" s="28" t="s">
        <v>28</v>
      </c>
      <c r="C880" s="28" t="s">
        <v>14</v>
      </c>
      <c r="D880" s="28" t="str">
        <f>VLOOKUP(Table1[[#This Row],[Point of Origin]],Table2[#All],2,0)</f>
        <v>USA</v>
      </c>
      <c r="E880" s="28" t="str">
        <f>VLOOKUP(Table1[[#This Row],[Point of Origin]],Table2[#All],3,0)</f>
        <v>Domestic</v>
      </c>
      <c r="F880" s="28" t="s">
        <v>79</v>
      </c>
      <c r="G880" s="21" t="s">
        <v>80</v>
      </c>
      <c r="H880" s="22">
        <v>828</v>
      </c>
      <c r="I880" s="22">
        <f>Table1[[#This Row],[Total Weight Imported (lbs)]]*0.453592</f>
        <v>375.57417600000002</v>
      </c>
      <c r="J880" s="23">
        <v>915.48</v>
      </c>
      <c r="K880" s="1"/>
    </row>
    <row r="881" spans="1:11" ht="15.75" customHeight="1">
      <c r="A881" s="28" t="s">
        <v>255</v>
      </c>
      <c r="B881" s="28" t="s">
        <v>28</v>
      </c>
      <c r="C881" s="28" t="s">
        <v>14</v>
      </c>
      <c r="D881" s="28" t="str">
        <f>VLOOKUP(Table1[[#This Row],[Point of Origin]],Table2[#All],2,0)</f>
        <v>USA</v>
      </c>
      <c r="E881" s="28" t="str">
        <f>VLOOKUP(Table1[[#This Row],[Point of Origin]],Table2[#All],3,0)</f>
        <v>Domestic</v>
      </c>
      <c r="F881" s="36" t="s">
        <v>56</v>
      </c>
      <c r="G881" s="21" t="s">
        <v>57</v>
      </c>
      <c r="H881" s="22">
        <f>2912+345+18</f>
        <v>3275</v>
      </c>
      <c r="I881" s="22">
        <f>Table1[[#This Row],[Total Weight Imported (lbs)]]*0.453592</f>
        <v>1485.5137999999999</v>
      </c>
      <c r="J881" s="23">
        <f>1526.56+454.5+44.94</f>
        <v>2026</v>
      </c>
      <c r="K881" s="41"/>
    </row>
    <row r="882" spans="1:11" ht="15.75" customHeight="1">
      <c r="A882" s="28" t="s">
        <v>255</v>
      </c>
      <c r="B882" s="28" t="s">
        <v>28</v>
      </c>
      <c r="C882" s="28" t="s">
        <v>14</v>
      </c>
      <c r="D882" s="28" t="str">
        <f>VLOOKUP(Table1[[#This Row],[Point of Origin]],Table2[#All],2,0)</f>
        <v>USA</v>
      </c>
      <c r="E882" s="28" t="str">
        <f>VLOOKUP(Table1[[#This Row],[Point of Origin]],Table2[#All],3,0)</f>
        <v>Domestic</v>
      </c>
      <c r="F882" s="36" t="s">
        <v>109</v>
      </c>
      <c r="G882" s="21" t="s">
        <v>20</v>
      </c>
      <c r="H882" s="22">
        <v>144</v>
      </c>
      <c r="I882" s="22">
        <f>Table1[[#This Row],[Total Weight Imported (lbs)]]*0.453592</f>
        <v>65.317248000000006</v>
      </c>
      <c r="J882" s="23">
        <v>219.51</v>
      </c>
      <c r="K882" s="1"/>
    </row>
    <row r="883" spans="1:11" ht="15.75" customHeight="1">
      <c r="A883" s="28" t="s">
        <v>255</v>
      </c>
      <c r="B883" s="28" t="s">
        <v>28</v>
      </c>
      <c r="C883" s="28" t="s">
        <v>14</v>
      </c>
      <c r="D883" s="28" t="str">
        <f>VLOOKUP(Table1[[#This Row],[Point of Origin]],Table2[#All],2,0)</f>
        <v>USA</v>
      </c>
      <c r="E883" s="28" t="str">
        <f>VLOOKUP(Table1[[#This Row],[Point of Origin]],Table2[#All],3,0)</f>
        <v>Domestic</v>
      </c>
      <c r="F883" s="28" t="s">
        <v>83</v>
      </c>
      <c r="G883" s="21" t="s">
        <v>32</v>
      </c>
      <c r="H883" s="22">
        <v>160</v>
      </c>
      <c r="I883" s="22">
        <f>Table1[[#This Row],[Total Weight Imported (lbs)]]*0.453592</f>
        <v>72.574719999999999</v>
      </c>
      <c r="J883" s="23">
        <v>202.44</v>
      </c>
      <c r="K883" s="41"/>
    </row>
    <row r="884" spans="1:11" ht="15.75" customHeight="1">
      <c r="A884" s="28" t="s">
        <v>255</v>
      </c>
      <c r="B884" s="28" t="s">
        <v>28</v>
      </c>
      <c r="C884" s="28" t="s">
        <v>14</v>
      </c>
      <c r="D884" s="28" t="str">
        <f>VLOOKUP(Table1[[#This Row],[Point of Origin]],Table2[#All],2,0)</f>
        <v>USA</v>
      </c>
      <c r="E884" s="28" t="str">
        <f>VLOOKUP(Table1[[#This Row],[Point of Origin]],Table2[#All],3,0)</f>
        <v>Domestic</v>
      </c>
      <c r="F884" s="36" t="s">
        <v>96</v>
      </c>
      <c r="G884" s="21" t="s">
        <v>97</v>
      </c>
      <c r="H884" s="22">
        <v>90</v>
      </c>
      <c r="I884" s="22">
        <f>Table1[[#This Row],[Total Weight Imported (lbs)]]*0.453592</f>
        <v>40.823279999999997</v>
      </c>
      <c r="J884" s="23">
        <v>306.77999999999997</v>
      </c>
      <c r="K884" s="1"/>
    </row>
    <row r="885" spans="1:11" ht="15.75" customHeight="1">
      <c r="A885" s="28" t="s">
        <v>255</v>
      </c>
      <c r="B885" s="28" t="s">
        <v>28</v>
      </c>
      <c r="C885" s="28" t="s">
        <v>14</v>
      </c>
      <c r="D885" s="28" t="str">
        <f>VLOOKUP(Table1[[#This Row],[Point of Origin]],Table2[#All],2,0)</f>
        <v>USA</v>
      </c>
      <c r="E885" s="28" t="str">
        <f>VLOOKUP(Table1[[#This Row],[Point of Origin]],Table2[#All],3,0)</f>
        <v>Domestic</v>
      </c>
      <c r="F885" s="36" t="s">
        <v>163</v>
      </c>
      <c r="G885" s="21" t="s">
        <v>164</v>
      </c>
      <c r="H885" s="22">
        <f>1440+5</f>
        <v>1445</v>
      </c>
      <c r="I885" s="22">
        <f>Table1[[#This Row],[Total Weight Imported (lbs)]]*0.453592</f>
        <v>655.44043999999997</v>
      </c>
      <c r="J885" s="23">
        <f>2297.76+42.68</f>
        <v>2340.44</v>
      </c>
      <c r="K885" s="41"/>
    </row>
    <row r="886" spans="1:11" ht="15.75" customHeight="1">
      <c r="A886" s="28" t="s">
        <v>255</v>
      </c>
      <c r="B886" s="28" t="s">
        <v>28</v>
      </c>
      <c r="C886" s="28" t="s">
        <v>14</v>
      </c>
      <c r="D886" s="28" t="str">
        <f>VLOOKUP(Table1[[#This Row],[Point of Origin]],Table2[#All],2,0)</f>
        <v>USA</v>
      </c>
      <c r="E886" s="28" t="str">
        <f>VLOOKUP(Table1[[#This Row],[Point of Origin]],Table2[#All],3,0)</f>
        <v>Domestic</v>
      </c>
      <c r="F886" s="36" t="s">
        <v>87</v>
      </c>
      <c r="G886" s="21" t="s">
        <v>20</v>
      </c>
      <c r="H886" s="22">
        <f>228+5</f>
        <v>233</v>
      </c>
      <c r="I886" s="22">
        <f>Table1[[#This Row],[Total Weight Imported (lbs)]]*0.453592</f>
        <v>105.686936</v>
      </c>
      <c r="J886" s="23">
        <f>361+42.68</f>
        <v>403.68</v>
      </c>
      <c r="K886" s="41"/>
    </row>
    <row r="887" spans="1:11" ht="15.75" customHeight="1">
      <c r="A887" s="28" t="s">
        <v>255</v>
      </c>
      <c r="B887" s="28" t="s">
        <v>28</v>
      </c>
      <c r="C887" s="28" t="s">
        <v>14</v>
      </c>
      <c r="D887" s="28" t="str">
        <f>VLOOKUP(Table1[[#This Row],[Point of Origin]],Table2[#All],2,0)</f>
        <v>USA</v>
      </c>
      <c r="E887" s="28" t="str">
        <f>VLOOKUP(Table1[[#This Row],[Point of Origin]],Table2[#All],3,0)</f>
        <v>Domestic</v>
      </c>
      <c r="F887" s="28" t="s">
        <v>59</v>
      </c>
      <c r="G887" s="21" t="s">
        <v>60</v>
      </c>
      <c r="H887" s="22">
        <f>2014+650+20+165</f>
        <v>2849</v>
      </c>
      <c r="I887" s="22">
        <f>Table1[[#This Row],[Total Weight Imported (lbs)]]*0.453592</f>
        <v>1292.283608</v>
      </c>
      <c r="J887" s="23">
        <f>2950.51+1136.72+44.94+206.4</f>
        <v>4338.57</v>
      </c>
      <c r="K887" s="41"/>
    </row>
    <row r="888" spans="1:11" ht="15.75" customHeight="1">
      <c r="A888" s="28" t="s">
        <v>255</v>
      </c>
      <c r="B888" s="28" t="s">
        <v>28</v>
      </c>
      <c r="C888" s="28" t="s">
        <v>14</v>
      </c>
      <c r="D888" s="28" t="str">
        <f>VLOOKUP(Table1[[#This Row],[Point of Origin]],Table2[#All],2,0)</f>
        <v>USA</v>
      </c>
      <c r="E888" s="28" t="str">
        <f>VLOOKUP(Table1[[#This Row],[Point of Origin]],Table2[#All],3,0)</f>
        <v>Domestic</v>
      </c>
      <c r="F888" s="36" t="s">
        <v>58</v>
      </c>
      <c r="G888" s="21" t="s">
        <v>34</v>
      </c>
      <c r="H888" s="22">
        <v>1880</v>
      </c>
      <c r="I888" s="22">
        <f>Table1[[#This Row],[Total Weight Imported (lbs)]]*0.453592</f>
        <v>852.75296000000003</v>
      </c>
      <c r="J888" s="23">
        <v>1661.92</v>
      </c>
      <c r="K888" s="1"/>
    </row>
    <row r="889" spans="1:11" ht="15.75" customHeight="1">
      <c r="A889" s="28" t="s">
        <v>255</v>
      </c>
      <c r="B889" s="28" t="s">
        <v>28</v>
      </c>
      <c r="C889" s="28" t="s">
        <v>14</v>
      </c>
      <c r="D889" s="28" t="str">
        <f>VLOOKUP(Table1[[#This Row],[Point of Origin]],Table2[#All],2,0)</f>
        <v>USA</v>
      </c>
      <c r="E889" s="28" t="str">
        <f>VLOOKUP(Table1[[#This Row],[Point of Origin]],Table2[#All],3,0)</f>
        <v>Domestic</v>
      </c>
      <c r="F889" s="36" t="s">
        <v>58</v>
      </c>
      <c r="G889" s="21" t="s">
        <v>34</v>
      </c>
      <c r="H889" s="22">
        <v>138</v>
      </c>
      <c r="I889" s="22">
        <f>Table1[[#This Row],[Total Weight Imported (lbs)]]*0.453592</f>
        <v>62.595695999999997</v>
      </c>
      <c r="J889" s="23">
        <v>289.02</v>
      </c>
      <c r="K889" s="1"/>
    </row>
    <row r="890" spans="1:11" ht="15.75" customHeight="1">
      <c r="A890" s="28" t="s">
        <v>255</v>
      </c>
      <c r="B890" s="28" t="s">
        <v>28</v>
      </c>
      <c r="C890" s="28" t="s">
        <v>14</v>
      </c>
      <c r="D890" s="28" t="str">
        <f>VLOOKUP(Table1[[#This Row],[Point of Origin]],Table2[#All],2,0)</f>
        <v>USA</v>
      </c>
      <c r="E890" s="28" t="str">
        <f>VLOOKUP(Table1[[#This Row],[Point of Origin]],Table2[#All],3,0)</f>
        <v>Domestic</v>
      </c>
      <c r="F890" s="36" t="s">
        <v>102</v>
      </c>
      <c r="G890" s="21" t="s">
        <v>32</v>
      </c>
      <c r="H890" s="22">
        <v>60</v>
      </c>
      <c r="I890" s="22">
        <f>Table1[[#This Row],[Total Weight Imported (lbs)]]*0.453592</f>
        <v>27.215519999999998</v>
      </c>
      <c r="J890" s="23">
        <v>109.75</v>
      </c>
      <c r="K890" s="41"/>
    </row>
    <row r="891" spans="1:11" ht="15.75" customHeight="1">
      <c r="A891" s="28" t="s">
        <v>255</v>
      </c>
      <c r="B891" s="28" t="s">
        <v>28</v>
      </c>
      <c r="C891" s="28" t="s">
        <v>14</v>
      </c>
      <c r="D891" s="28" t="str">
        <f>VLOOKUP(Table1[[#This Row],[Point of Origin]],Table2[#All],2,0)</f>
        <v>USA</v>
      </c>
      <c r="E891" s="28" t="str">
        <f>VLOOKUP(Table1[[#This Row],[Point of Origin]],Table2[#All],3,0)</f>
        <v>Domestic</v>
      </c>
      <c r="F891" s="28" t="s">
        <v>169</v>
      </c>
      <c r="G891" s="21" t="s">
        <v>170</v>
      </c>
      <c r="H891" s="22">
        <v>10</v>
      </c>
      <c r="I891" s="22">
        <f>Table1[[#This Row],[Total Weight Imported (lbs)]]*0.453592</f>
        <v>4.53592</v>
      </c>
      <c r="J891" s="23">
        <v>48.78</v>
      </c>
      <c r="K891" s="1"/>
    </row>
    <row r="892" spans="1:11" ht="15.75" customHeight="1">
      <c r="A892" s="28" t="s">
        <v>255</v>
      </c>
      <c r="B892" s="28" t="s">
        <v>28</v>
      </c>
      <c r="C892" s="28" t="s">
        <v>14</v>
      </c>
      <c r="D892" s="28" t="str">
        <f>VLOOKUP(Table1[[#This Row],[Point of Origin]],Table2[#All],2,0)</f>
        <v>USA</v>
      </c>
      <c r="E892" s="28" t="str">
        <f>VLOOKUP(Table1[[#This Row],[Point of Origin]],Table2[#All],3,0)</f>
        <v>Domestic</v>
      </c>
      <c r="F892" s="36" t="s">
        <v>169</v>
      </c>
      <c r="G892" s="21" t="s">
        <v>170</v>
      </c>
      <c r="H892" s="22">
        <v>200</v>
      </c>
      <c r="I892" s="22">
        <f>Table1[[#This Row],[Total Weight Imported (lbs)]]*0.453592</f>
        <v>90.718400000000003</v>
      </c>
      <c r="J892" s="23">
        <v>768.2</v>
      </c>
      <c r="K892" s="41"/>
    </row>
    <row r="893" spans="1:11" ht="15.75" customHeight="1">
      <c r="A893" s="28" t="s">
        <v>255</v>
      </c>
      <c r="B893" s="28" t="s">
        <v>28</v>
      </c>
      <c r="C893" s="28" t="s">
        <v>14</v>
      </c>
      <c r="D893" s="28" t="str">
        <f>VLOOKUP(Table1[[#This Row],[Point of Origin]],Table2[#All],2,0)</f>
        <v>USA</v>
      </c>
      <c r="E893" s="28" t="str">
        <f>VLOOKUP(Table1[[#This Row],[Point of Origin]],Table2[#All],3,0)</f>
        <v>Domestic</v>
      </c>
      <c r="F893" s="28" t="s">
        <v>81</v>
      </c>
      <c r="G893" s="21" t="s">
        <v>62</v>
      </c>
      <c r="H893" s="22">
        <f>20+40+150+80</f>
        <v>290</v>
      </c>
      <c r="I893" s="22">
        <f>Table1[[#This Row],[Total Weight Imported (lbs)]]*0.453592</f>
        <v>131.54167999999999</v>
      </c>
      <c r="J893" s="23">
        <f>36.58+129.28+246.9+143.92</f>
        <v>556.67999999999995</v>
      </c>
      <c r="K893" s="41"/>
    </row>
    <row r="894" spans="1:11" ht="15.75" customHeight="1">
      <c r="A894" s="28" t="s">
        <v>255</v>
      </c>
      <c r="B894" s="28" t="s">
        <v>28</v>
      </c>
      <c r="C894" s="28" t="s">
        <v>14</v>
      </c>
      <c r="D894" s="28" t="str">
        <f>VLOOKUP(Table1[[#This Row],[Point of Origin]],Table2[#All],2,0)</f>
        <v>USA</v>
      </c>
      <c r="E894" s="28" t="str">
        <f>VLOOKUP(Table1[[#This Row],[Point of Origin]],Table2[#All],3,0)</f>
        <v>Domestic</v>
      </c>
      <c r="F894" s="28" t="s">
        <v>54</v>
      </c>
      <c r="G894" s="21" t="s">
        <v>30</v>
      </c>
      <c r="H894" s="22">
        <f>640+44+50</f>
        <v>734</v>
      </c>
      <c r="I894" s="22">
        <f>Table1[[#This Row],[Total Weight Imported (lbs)]]*0.453592</f>
        <v>332.93652800000001</v>
      </c>
      <c r="J894" s="23">
        <f>312.16+102.44+64.64</f>
        <v>479.24</v>
      </c>
      <c r="K894" s="41"/>
    </row>
    <row r="895" spans="1:11" ht="15.75" customHeight="1">
      <c r="A895" s="28" t="s">
        <v>255</v>
      </c>
      <c r="B895" s="28" t="s">
        <v>28</v>
      </c>
      <c r="C895" s="28" t="s">
        <v>14</v>
      </c>
      <c r="D895" s="28" t="str">
        <f>VLOOKUP(Table1[[#This Row],[Point of Origin]],Table2[#All],2,0)</f>
        <v>USA</v>
      </c>
      <c r="E895" s="28" t="str">
        <f>VLOOKUP(Table1[[#This Row],[Point of Origin]],Table2[#All],3,0)</f>
        <v>Domestic</v>
      </c>
      <c r="F895" s="28" t="s">
        <v>63</v>
      </c>
      <c r="G895" s="21" t="s">
        <v>64</v>
      </c>
      <c r="H895" s="22">
        <v>24</v>
      </c>
      <c r="I895" s="22">
        <f>Table1[[#This Row],[Total Weight Imported (lbs)]]*0.453592</f>
        <v>10.886208</v>
      </c>
      <c r="J895" s="23">
        <v>20.12</v>
      </c>
      <c r="K895" s="1"/>
    </row>
    <row r="896" spans="1:11" ht="15.75" customHeight="1">
      <c r="A896" s="28" t="s">
        <v>255</v>
      </c>
      <c r="B896" s="28" t="s">
        <v>28</v>
      </c>
      <c r="C896" s="28" t="s">
        <v>14</v>
      </c>
      <c r="D896" s="28" t="str">
        <f>VLOOKUP(Table1[[#This Row],[Point of Origin]],Table2[#All],2,0)</f>
        <v>USA</v>
      </c>
      <c r="E896" s="28" t="str">
        <f>VLOOKUP(Table1[[#This Row],[Point of Origin]],Table2[#All],3,0)</f>
        <v>Domestic</v>
      </c>
      <c r="F896" s="36" t="s">
        <v>135</v>
      </c>
      <c r="G896" s="21" t="s">
        <v>136</v>
      </c>
      <c r="H896" s="22">
        <v>520</v>
      </c>
      <c r="I896" s="22">
        <f>Table1[[#This Row],[Total Weight Imported (lbs)]]*0.453592</f>
        <v>235.86784</v>
      </c>
      <c r="J896" s="23">
        <v>1097.5999999999999</v>
      </c>
      <c r="K896" s="41"/>
    </row>
    <row r="897" spans="1:11" ht="15.75" customHeight="1">
      <c r="A897" s="28" t="s">
        <v>255</v>
      </c>
      <c r="B897" s="28" t="s">
        <v>28</v>
      </c>
      <c r="C897" s="28" t="s">
        <v>14</v>
      </c>
      <c r="D897" s="28" t="str">
        <f>VLOOKUP(Table1[[#This Row],[Point of Origin]],Table2[#All],2,0)</f>
        <v>USA</v>
      </c>
      <c r="E897" s="28" t="str">
        <f>VLOOKUP(Table1[[#This Row],[Point of Origin]],Table2[#All],3,0)</f>
        <v>Domestic</v>
      </c>
      <c r="F897" s="28" t="s">
        <v>38</v>
      </c>
      <c r="G897" s="21" t="s">
        <v>39</v>
      </c>
      <c r="H897" s="22">
        <f>20+108+12+42</f>
        <v>182</v>
      </c>
      <c r="I897" s="22">
        <f>Table1[[#This Row],[Total Weight Imported (lbs)]]*0.453592</f>
        <v>82.553743999999995</v>
      </c>
      <c r="J897" s="23">
        <f>36.58+532.35+59.15+177.45+59.15</f>
        <v>864.68</v>
      </c>
      <c r="K897" s="41"/>
    </row>
    <row r="898" spans="1:11" ht="15.75" customHeight="1">
      <c r="A898" s="28" t="s">
        <v>255</v>
      </c>
      <c r="B898" s="28" t="s">
        <v>28</v>
      </c>
      <c r="C898" s="28" t="s">
        <v>14</v>
      </c>
      <c r="D898" s="28" t="str">
        <f>VLOOKUP(Table1[[#This Row],[Point of Origin]],Table2[#All],2,0)</f>
        <v>USA</v>
      </c>
      <c r="E898" s="28" t="str">
        <f>VLOOKUP(Table1[[#This Row],[Point of Origin]],Table2[#All],3,0)</f>
        <v>Domestic</v>
      </c>
      <c r="F898" s="28" t="s">
        <v>76</v>
      </c>
      <c r="G898" s="21" t="s">
        <v>77</v>
      </c>
      <c r="H898" s="22">
        <v>75</v>
      </c>
      <c r="I898" s="22">
        <f>Table1[[#This Row],[Total Weight Imported (lbs)]]*0.453592</f>
        <v>34.019399999999997</v>
      </c>
      <c r="J898" s="23">
        <v>115.5</v>
      </c>
      <c r="K898" s="1"/>
    </row>
    <row r="899" spans="1:11" ht="15.75" customHeight="1">
      <c r="A899" s="28" t="s">
        <v>255</v>
      </c>
      <c r="B899" s="28" t="s">
        <v>28</v>
      </c>
      <c r="C899" s="28" t="s">
        <v>14</v>
      </c>
      <c r="D899" s="28" t="str">
        <f>VLOOKUP(Table1[[#This Row],[Point of Origin]],Table2[#All],2,0)</f>
        <v>USA</v>
      </c>
      <c r="E899" s="28" t="str">
        <f>VLOOKUP(Table1[[#This Row],[Point of Origin]],Table2[#All],3,0)</f>
        <v>Domestic</v>
      </c>
      <c r="F899" s="28" t="s">
        <v>67</v>
      </c>
      <c r="G899" s="21" t="s">
        <v>68</v>
      </c>
      <c r="H899" s="22">
        <v>81</v>
      </c>
      <c r="I899" s="22">
        <f>Table1[[#This Row],[Total Weight Imported (lbs)]]*0.453592</f>
        <v>36.740952</v>
      </c>
      <c r="J899" s="23">
        <v>285.36</v>
      </c>
      <c r="K899" s="41"/>
    </row>
    <row r="900" spans="1:11" ht="15.75" customHeight="1">
      <c r="A900" s="28" t="s">
        <v>255</v>
      </c>
      <c r="B900" s="28" t="s">
        <v>28</v>
      </c>
      <c r="C900" s="28" t="s">
        <v>14</v>
      </c>
      <c r="D900" s="28" t="str">
        <f>VLOOKUP(Table1[[#This Row],[Point of Origin]],Table2[#All],2,0)</f>
        <v>USA</v>
      </c>
      <c r="E900" s="28" t="str">
        <f>VLOOKUP(Table1[[#This Row],[Point of Origin]],Table2[#All],3,0)</f>
        <v>Domestic</v>
      </c>
      <c r="F900" s="28" t="s">
        <v>81</v>
      </c>
      <c r="G900" s="21" t="s">
        <v>62</v>
      </c>
      <c r="H900" s="22">
        <v>26</v>
      </c>
      <c r="I900" s="22">
        <f>Table1[[#This Row],[Total Weight Imported (lbs)]]*0.453592</f>
        <v>11.793392000000001</v>
      </c>
      <c r="J900" s="23">
        <f>128.04</f>
        <v>128.04</v>
      </c>
      <c r="K900" s="41"/>
    </row>
    <row r="901" spans="1:11" ht="15.75" customHeight="1">
      <c r="A901" s="27" t="s">
        <v>256</v>
      </c>
      <c r="B901" s="27" t="s">
        <v>28</v>
      </c>
      <c r="C901" s="27" t="s">
        <v>14</v>
      </c>
      <c r="D901" s="20" t="str">
        <f>VLOOKUP(Table1[[#This Row],[Point of Origin]],Table2[#All],2,0)</f>
        <v>USA</v>
      </c>
      <c r="E901" s="20" t="str">
        <f>VLOOKUP(Table1[[#This Row],[Point of Origin]],Table2[#All],3,0)</f>
        <v>Domestic</v>
      </c>
      <c r="F901" s="27" t="s">
        <v>121</v>
      </c>
      <c r="G901" s="21" t="s">
        <v>122</v>
      </c>
      <c r="H901" s="22">
        <f>1960+960+1440+960+480+960+600+600</f>
        <v>7960</v>
      </c>
      <c r="I901" s="22">
        <f>Table1[[#This Row],[Total Weight Imported (lbs)]]*0.453592</f>
        <v>3610.5923199999997</v>
      </c>
      <c r="J901" s="23">
        <f>4089.05+795.6+795.6+795.6+586+795.6+614.75+614.75</f>
        <v>9086.9500000000007</v>
      </c>
      <c r="K901" s="1"/>
    </row>
    <row r="902" spans="1:11" ht="15.75" customHeight="1">
      <c r="A902" s="27" t="s">
        <v>256</v>
      </c>
      <c r="B902" s="27" t="s">
        <v>28</v>
      </c>
      <c r="C902" s="27" t="s">
        <v>14</v>
      </c>
      <c r="D902" s="20" t="str">
        <f>VLOOKUP(Table1[[#This Row],[Point of Origin]],Table2[#All],2,0)</f>
        <v>USA</v>
      </c>
      <c r="E902" s="20" t="str">
        <f>VLOOKUP(Table1[[#This Row],[Point of Origin]],Table2[#All],3,0)</f>
        <v>Domestic</v>
      </c>
      <c r="F902" s="20" t="s">
        <v>154</v>
      </c>
      <c r="G902" s="21" t="s">
        <v>155</v>
      </c>
      <c r="H902" s="22">
        <f>1960+1120</f>
        <v>3080</v>
      </c>
      <c r="I902" s="22">
        <f>Table1[[#This Row],[Total Weight Imported (lbs)]]*0.453592</f>
        <v>1397.0633599999999</v>
      </c>
      <c r="J902" s="23">
        <f>2241.75+614.75</f>
        <v>2856.5</v>
      </c>
      <c r="K902" s="1"/>
    </row>
    <row r="903" spans="1:11" ht="15.75" customHeight="1">
      <c r="A903" s="28" t="s">
        <v>257</v>
      </c>
      <c r="B903" s="28" t="s">
        <v>28</v>
      </c>
      <c r="C903" s="28" t="s">
        <v>14</v>
      </c>
      <c r="D903" s="28" t="str">
        <f>VLOOKUP(Table1[[#This Row],[Point of Origin]],Table2[#All],2,0)</f>
        <v>USA</v>
      </c>
      <c r="E903" s="28" t="str">
        <f>VLOOKUP(Table1[[#This Row],[Point of Origin]],Table2[#All],3,0)</f>
        <v>Domestic</v>
      </c>
      <c r="F903" s="36" t="s">
        <v>71</v>
      </c>
      <c r="G903" s="21" t="s">
        <v>72</v>
      </c>
      <c r="H903" s="22">
        <f>1350+180+4842</f>
        <v>6372</v>
      </c>
      <c r="I903" s="22">
        <f>Table1[[#This Row],[Total Weight Imported (lbs)]]*0.453592</f>
        <v>2890.2882239999999</v>
      </c>
      <c r="J903" s="23">
        <f>3075+450+11029</f>
        <v>14554</v>
      </c>
      <c r="K903" s="41"/>
    </row>
    <row r="904" spans="1:11" ht="15.75" customHeight="1">
      <c r="A904" s="28" t="s">
        <v>257</v>
      </c>
      <c r="B904" s="28" t="s">
        <v>28</v>
      </c>
      <c r="C904" s="28" t="s">
        <v>14</v>
      </c>
      <c r="D904" s="28" t="str">
        <f>VLOOKUP(Table1[[#This Row],[Point of Origin]],Table2[#All],2,0)</f>
        <v>USA</v>
      </c>
      <c r="E904" s="28" t="str">
        <f>VLOOKUP(Table1[[#This Row],[Point of Origin]],Table2[#All],3,0)</f>
        <v>Domestic</v>
      </c>
      <c r="F904" s="36" t="s">
        <v>71</v>
      </c>
      <c r="G904" s="21" t="s">
        <v>72</v>
      </c>
      <c r="H904" s="22">
        <f>3906</f>
        <v>3906</v>
      </c>
      <c r="I904" s="22">
        <f>Table1[[#This Row],[Total Weight Imported (lbs)]]*0.453592</f>
        <v>1771.730352</v>
      </c>
      <c r="J904" s="23">
        <f>8897</f>
        <v>8897</v>
      </c>
      <c r="K904" s="41"/>
    </row>
    <row r="905" spans="1:11" ht="15.75" customHeight="1">
      <c r="A905" s="28" t="s">
        <v>257</v>
      </c>
      <c r="B905" s="28" t="s">
        <v>28</v>
      </c>
      <c r="C905" s="28" t="s">
        <v>14</v>
      </c>
      <c r="D905" s="28" t="str">
        <f>VLOOKUP(Table1[[#This Row],[Point of Origin]],Table2[#All],2,0)</f>
        <v>USA</v>
      </c>
      <c r="E905" s="28" t="str">
        <f>VLOOKUP(Table1[[#This Row],[Point of Origin]],Table2[#All],3,0)</f>
        <v>Domestic</v>
      </c>
      <c r="F905" s="36" t="s">
        <v>137</v>
      </c>
      <c r="G905" s="21" t="s">
        <v>138</v>
      </c>
      <c r="H905" s="22">
        <f>4040</f>
        <v>4040</v>
      </c>
      <c r="I905" s="22">
        <f>Table1[[#This Row],[Total Weight Imported (lbs)]]*0.453592</f>
        <v>1832.5116800000001</v>
      </c>
      <c r="J905" s="23">
        <f>4064.24</f>
        <v>4064.24</v>
      </c>
      <c r="K905" s="1"/>
    </row>
    <row r="906" spans="1:11" ht="15.75" customHeight="1">
      <c r="A906" s="28" t="s">
        <v>257</v>
      </c>
      <c r="B906" s="28" t="s">
        <v>28</v>
      </c>
      <c r="C906" s="28" t="s">
        <v>14</v>
      </c>
      <c r="D906" s="28" t="str">
        <f>VLOOKUP(Table1[[#This Row],[Point of Origin]],Table2[#All],2,0)</f>
        <v>USA</v>
      </c>
      <c r="E906" s="28" t="str">
        <f>VLOOKUP(Table1[[#This Row],[Point of Origin]],Table2[#All],3,0)</f>
        <v>Domestic</v>
      </c>
      <c r="F906" s="28" t="s">
        <v>59</v>
      </c>
      <c r="G906" s="21" t="s">
        <v>60</v>
      </c>
      <c r="H906" s="22">
        <f>17+867+2204+748+3300</f>
        <v>7136</v>
      </c>
      <c r="I906" s="22">
        <f>Table1[[#This Row],[Total Weight Imported (lbs)]]*0.453592</f>
        <v>3236.832512</v>
      </c>
      <c r="J906" s="23">
        <f>24.33+1024.59+1694.18+795.96+2170</f>
        <v>5709.0599999999995</v>
      </c>
      <c r="K906" s="41"/>
    </row>
    <row r="907" spans="1:11" ht="15.75" customHeight="1">
      <c r="A907" s="28" t="s">
        <v>257</v>
      </c>
      <c r="B907" s="28" t="s">
        <v>28</v>
      </c>
      <c r="C907" s="28" t="s">
        <v>14</v>
      </c>
      <c r="D907" s="28" t="str">
        <f>VLOOKUP(Table1[[#This Row],[Point of Origin]],Table2[#All],2,0)</f>
        <v>USA</v>
      </c>
      <c r="E907" s="28" t="str">
        <f>VLOOKUP(Table1[[#This Row],[Point of Origin]],Table2[#All],3,0)</f>
        <v>Domestic</v>
      </c>
      <c r="F907" s="28" t="s">
        <v>130</v>
      </c>
      <c r="G907" s="21" t="s">
        <v>131</v>
      </c>
      <c r="H907" s="22">
        <f>3600</f>
        <v>3600</v>
      </c>
      <c r="I907" s="22">
        <f>Table1[[#This Row],[Total Weight Imported (lbs)]]*0.453592</f>
        <v>1632.9312</v>
      </c>
      <c r="J907" s="23">
        <f>6146.4</f>
        <v>6146.4</v>
      </c>
      <c r="K907" s="1"/>
    </row>
    <row r="908" spans="1:11" ht="15.75" customHeight="1">
      <c r="A908" s="28" t="s">
        <v>257</v>
      </c>
      <c r="B908" s="28" t="s">
        <v>28</v>
      </c>
      <c r="C908" s="28" t="s">
        <v>14</v>
      </c>
      <c r="D908" s="28" t="str">
        <f>VLOOKUP(Table1[[#This Row],[Point of Origin]],Table2[#All],2,0)</f>
        <v>USA</v>
      </c>
      <c r="E908" s="28" t="str">
        <f>VLOOKUP(Table1[[#This Row],[Point of Origin]],Table2[#All],3,0)</f>
        <v>Domestic</v>
      </c>
      <c r="F908" s="36" t="s">
        <v>119</v>
      </c>
      <c r="G908" s="21" t="s">
        <v>120</v>
      </c>
      <c r="H908" s="22">
        <f>1440</f>
        <v>1440</v>
      </c>
      <c r="I908" s="22">
        <f>Table1[[#This Row],[Total Weight Imported (lbs)]]*0.453592</f>
        <v>653.17247999999995</v>
      </c>
      <c r="J908" s="23">
        <f>3030</f>
        <v>3030</v>
      </c>
      <c r="K908" s="1"/>
    </row>
    <row r="909" spans="1:11" ht="15.75" customHeight="1">
      <c r="A909" s="28" t="s">
        <v>257</v>
      </c>
      <c r="B909" s="28" t="s">
        <v>28</v>
      </c>
      <c r="C909" s="28" t="s">
        <v>14</v>
      </c>
      <c r="D909" s="28" t="str">
        <f>VLOOKUP(Table1[[#This Row],[Point of Origin]],Table2[#All],2,0)</f>
        <v>USA</v>
      </c>
      <c r="E909" s="28" t="str">
        <f>VLOOKUP(Table1[[#This Row],[Point of Origin]],Table2[#All],3,0)</f>
        <v>Domestic</v>
      </c>
      <c r="F909" s="36" t="s">
        <v>173</v>
      </c>
      <c r="G909" s="21" t="s">
        <v>174</v>
      </c>
      <c r="H909" s="22">
        <f>1944</f>
        <v>1944</v>
      </c>
      <c r="I909" s="22">
        <f>Table1[[#This Row],[Total Weight Imported (lbs)]]*0.453592</f>
        <v>881.78284799999994</v>
      </c>
      <c r="J909" s="23">
        <f>4734</f>
        <v>4734</v>
      </c>
      <c r="K909" s="1"/>
    </row>
    <row r="910" spans="1:11" ht="15.75" customHeight="1">
      <c r="A910" s="27" t="s">
        <v>258</v>
      </c>
      <c r="B910" s="27" t="s">
        <v>28</v>
      </c>
      <c r="C910" s="27" t="s">
        <v>14</v>
      </c>
      <c r="D910" s="20" t="str">
        <f>VLOOKUP(Table1[[#This Row],[Point of Origin]],Table2[#All],2,0)</f>
        <v>USA</v>
      </c>
      <c r="E910" s="20" t="str">
        <f>VLOOKUP(Table1[[#This Row],[Point of Origin]],Table2[#All],3,0)</f>
        <v>Domestic</v>
      </c>
      <c r="F910" s="20" t="s">
        <v>15</v>
      </c>
      <c r="G910" s="21" t="s">
        <v>16</v>
      </c>
      <c r="H910" s="22">
        <f>165</f>
        <v>165</v>
      </c>
      <c r="I910" s="22">
        <f>Table1[[#This Row],[Total Weight Imported (lbs)]]*0.453592</f>
        <v>74.842680000000001</v>
      </c>
      <c r="J910" s="23">
        <f>648.75</f>
        <v>648.75</v>
      </c>
      <c r="K910" s="41"/>
    </row>
    <row r="911" spans="1:11" ht="15.75" customHeight="1">
      <c r="A911" s="27" t="s">
        <v>258</v>
      </c>
      <c r="B911" s="27" t="s">
        <v>28</v>
      </c>
      <c r="C911" s="27" t="s">
        <v>14</v>
      </c>
      <c r="D911" s="20" t="str">
        <f>VLOOKUP(Table1[[#This Row],[Point of Origin]],Table2[#All],2,0)</f>
        <v>USA</v>
      </c>
      <c r="E911" s="20" t="str">
        <f>VLOOKUP(Table1[[#This Row],[Point of Origin]],Table2[#All],3,0)</f>
        <v>Domestic</v>
      </c>
      <c r="F911" s="20" t="s">
        <v>67</v>
      </c>
      <c r="G911" s="21" t="s">
        <v>68</v>
      </c>
      <c r="H911" s="22">
        <v>135</v>
      </c>
      <c r="I911" s="22">
        <f>Table1[[#This Row],[Total Weight Imported (lbs)]]*0.453592</f>
        <v>61.234920000000002</v>
      </c>
      <c r="J911" s="23">
        <v>223.75</v>
      </c>
      <c r="K911" s="41"/>
    </row>
    <row r="912" spans="1:11" ht="15.75" customHeight="1">
      <c r="A912" s="27" t="s">
        <v>258</v>
      </c>
      <c r="B912" s="27" t="s">
        <v>28</v>
      </c>
      <c r="C912" s="27" t="s">
        <v>14</v>
      </c>
      <c r="D912" s="20" t="str">
        <f>VLOOKUP(Table1[[#This Row],[Point of Origin]],Table2[#All],2,0)</f>
        <v>USA</v>
      </c>
      <c r="E912" s="20" t="str">
        <f>VLOOKUP(Table1[[#This Row],[Point of Origin]],Table2[#All],3,0)</f>
        <v>Domestic</v>
      </c>
      <c r="F912" s="20" t="s">
        <v>19</v>
      </c>
      <c r="G912" s="21" t="s">
        <v>20</v>
      </c>
      <c r="H912" s="22">
        <f>1008</f>
        <v>1008</v>
      </c>
      <c r="I912" s="22">
        <f>Table1[[#This Row],[Total Weight Imported (lbs)]]*0.453592</f>
        <v>457.22073599999999</v>
      </c>
      <c r="J912" s="23">
        <f>1960</f>
        <v>1960</v>
      </c>
      <c r="K912" s="41"/>
    </row>
    <row r="913" spans="1:11" ht="15.75" customHeight="1">
      <c r="A913" s="27" t="s">
        <v>258</v>
      </c>
      <c r="B913" s="27" t="s">
        <v>28</v>
      </c>
      <c r="C913" s="27" t="s">
        <v>14</v>
      </c>
      <c r="D913" s="20" t="str">
        <f>VLOOKUP(Table1[[#This Row],[Point of Origin]],Table2[#All],2,0)</f>
        <v>USA</v>
      </c>
      <c r="E913" s="20" t="str">
        <f>VLOOKUP(Table1[[#This Row],[Point of Origin]],Table2[#All],3,0)</f>
        <v>Domestic</v>
      </c>
      <c r="F913" s="20" t="s">
        <v>82</v>
      </c>
      <c r="G913" s="21" t="s">
        <v>20</v>
      </c>
      <c r="H913" s="22">
        <f>1260+1000+3080+250</f>
        <v>5590</v>
      </c>
      <c r="I913" s="22">
        <f>Table1[[#This Row],[Total Weight Imported (lbs)]]*0.453592</f>
        <v>2535.5792799999999</v>
      </c>
      <c r="J913" s="23">
        <f>1624+152.5</f>
        <v>1776.5</v>
      </c>
      <c r="K913" s="41"/>
    </row>
    <row r="914" spans="1:11" ht="15.75" customHeight="1">
      <c r="A914" s="27" t="s">
        <v>258</v>
      </c>
      <c r="B914" s="27" t="s">
        <v>28</v>
      </c>
      <c r="C914" s="27" t="s">
        <v>14</v>
      </c>
      <c r="D914" s="20" t="str">
        <f>VLOOKUP(Table1[[#This Row],[Point of Origin]],Table2[#All],2,0)</f>
        <v>USA</v>
      </c>
      <c r="E914" s="20" t="str">
        <f>VLOOKUP(Table1[[#This Row],[Point of Origin]],Table2[#All],3,0)</f>
        <v>Domestic</v>
      </c>
      <c r="F914" s="20" t="s">
        <v>40</v>
      </c>
      <c r="G914" s="21" t="s">
        <v>41</v>
      </c>
      <c r="H914" s="22">
        <f>1000+150</f>
        <v>1150</v>
      </c>
      <c r="I914" s="22">
        <f>Table1[[#This Row],[Total Weight Imported (lbs)]]*0.453592</f>
        <v>521.63080000000002</v>
      </c>
      <c r="J914" s="23">
        <f>660+150+435</f>
        <v>1245</v>
      </c>
      <c r="K914" s="41"/>
    </row>
    <row r="915" spans="1:11" ht="15.75" customHeight="1">
      <c r="A915" s="27" t="s">
        <v>258</v>
      </c>
      <c r="B915" s="27" t="s">
        <v>28</v>
      </c>
      <c r="C915" s="27" t="s">
        <v>14</v>
      </c>
      <c r="D915" s="20" t="str">
        <f>VLOOKUP(Table1[[#This Row],[Point of Origin]],Table2[#All],2,0)</f>
        <v>USA</v>
      </c>
      <c r="E915" s="20" t="str">
        <f>VLOOKUP(Table1[[#This Row],[Point of Origin]],Table2[#All],3,0)</f>
        <v>Domestic</v>
      </c>
      <c r="F915" s="20" t="s">
        <v>79</v>
      </c>
      <c r="G915" s="21" t="s">
        <v>80</v>
      </c>
      <c r="H915" s="22">
        <f>345</f>
        <v>345</v>
      </c>
      <c r="I915" s="22">
        <f>Table1[[#This Row],[Total Weight Imported (lbs)]]*0.453592</f>
        <v>156.48924</v>
      </c>
      <c r="J915" s="23">
        <f>435</f>
        <v>435</v>
      </c>
      <c r="K915" s="1"/>
    </row>
    <row r="916" spans="1:11" ht="15.75" customHeight="1">
      <c r="A916" s="27" t="s">
        <v>258</v>
      </c>
      <c r="B916" s="27" t="s">
        <v>28</v>
      </c>
      <c r="C916" s="27" t="s">
        <v>14</v>
      </c>
      <c r="D916" s="20" t="str">
        <f>VLOOKUP(Table1[[#This Row],[Point of Origin]],Table2[#All],2,0)</f>
        <v>USA</v>
      </c>
      <c r="E916" s="20" t="str">
        <f>VLOOKUP(Table1[[#This Row],[Point of Origin]],Table2[#All],3,0)</f>
        <v>Domestic</v>
      </c>
      <c r="F916" s="27" t="s">
        <v>56</v>
      </c>
      <c r="G916" s="21" t="s">
        <v>57</v>
      </c>
      <c r="H916" s="22">
        <f>520</f>
        <v>520</v>
      </c>
      <c r="I916" s="22">
        <f>Table1[[#This Row],[Total Weight Imported (lbs)]]*0.453592</f>
        <v>235.86784</v>
      </c>
      <c r="J916" s="23">
        <f>267.5</f>
        <v>267.5</v>
      </c>
      <c r="K916" s="41"/>
    </row>
    <row r="917" spans="1:11" ht="15.75" customHeight="1">
      <c r="A917" s="27" t="s">
        <v>258</v>
      </c>
      <c r="B917" s="27" t="s">
        <v>28</v>
      </c>
      <c r="C917" s="27" t="s">
        <v>14</v>
      </c>
      <c r="D917" s="20" t="str">
        <f>VLOOKUP(Table1[[#This Row],[Point of Origin]],Table2[#All],2,0)</f>
        <v>USA</v>
      </c>
      <c r="E917" s="20" t="str">
        <f>VLOOKUP(Table1[[#This Row],[Point of Origin]],Table2[#All],3,0)</f>
        <v>Domestic</v>
      </c>
      <c r="F917" s="27" t="s">
        <v>96</v>
      </c>
      <c r="G917" s="21" t="s">
        <v>97</v>
      </c>
      <c r="H917" s="22">
        <v>60</v>
      </c>
      <c r="I917" s="22">
        <f>Table1[[#This Row],[Total Weight Imported (lbs)]]*0.453592</f>
        <v>27.215519999999998</v>
      </c>
      <c r="J917" s="23">
        <v>300</v>
      </c>
      <c r="K917" s="1"/>
    </row>
    <row r="918" spans="1:11" ht="15.75" customHeight="1">
      <c r="A918" s="27" t="s">
        <v>258</v>
      </c>
      <c r="B918" s="27" t="s">
        <v>28</v>
      </c>
      <c r="C918" s="27" t="s">
        <v>14</v>
      </c>
      <c r="D918" s="20" t="str">
        <f>VLOOKUP(Table1[[#This Row],[Point of Origin]],Table2[#All],2,0)</f>
        <v>USA</v>
      </c>
      <c r="E918" s="20" t="str">
        <f>VLOOKUP(Table1[[#This Row],[Point of Origin]],Table2[#All],3,0)</f>
        <v>Domestic</v>
      </c>
      <c r="F918" s="27" t="s">
        <v>163</v>
      </c>
      <c r="G918" s="21" t="s">
        <v>164</v>
      </c>
      <c r="H918" s="22">
        <f>600</f>
        <v>600</v>
      </c>
      <c r="I918" s="22">
        <f>Table1[[#This Row],[Total Weight Imported (lbs)]]*0.453592</f>
        <v>272.15519999999998</v>
      </c>
      <c r="J918" s="23">
        <f>995</f>
        <v>995</v>
      </c>
      <c r="K918" s="41"/>
    </row>
    <row r="919" spans="1:11" ht="15.75" customHeight="1">
      <c r="A919" s="27" t="s">
        <v>258</v>
      </c>
      <c r="B919" s="27" t="s">
        <v>28</v>
      </c>
      <c r="C919" s="27" t="s">
        <v>14</v>
      </c>
      <c r="D919" s="20" t="str">
        <f>VLOOKUP(Table1[[#This Row],[Point of Origin]],Table2[#All],2,0)</f>
        <v>USA</v>
      </c>
      <c r="E919" s="20" t="str">
        <f>VLOOKUP(Table1[[#This Row],[Point of Origin]],Table2[#All],3,0)</f>
        <v>Domestic</v>
      </c>
      <c r="F919" s="27" t="s">
        <v>71</v>
      </c>
      <c r="G919" s="21" t="s">
        <v>72</v>
      </c>
      <c r="H919" s="22">
        <f>54+180</f>
        <v>234</v>
      </c>
      <c r="I919" s="22">
        <f>Table1[[#This Row],[Total Weight Imported (lbs)]]*0.453592</f>
        <v>106.140528</v>
      </c>
      <c r="J919" s="23">
        <f>130.5+410</f>
        <v>540.5</v>
      </c>
      <c r="K919" s="41"/>
    </row>
    <row r="920" spans="1:11" ht="15.75" customHeight="1">
      <c r="A920" s="27" t="s">
        <v>258</v>
      </c>
      <c r="B920" s="27" t="s">
        <v>28</v>
      </c>
      <c r="C920" s="27" t="s">
        <v>14</v>
      </c>
      <c r="D920" s="20" t="str">
        <f>VLOOKUP(Table1[[#This Row],[Point of Origin]],Table2[#All],2,0)</f>
        <v>USA</v>
      </c>
      <c r="E920" s="20" t="str">
        <f>VLOOKUP(Table1[[#This Row],[Point of Origin]],Table2[#All],3,0)</f>
        <v>Domestic</v>
      </c>
      <c r="F920" s="27" t="s">
        <v>139</v>
      </c>
      <c r="G920" s="21" t="s">
        <v>140</v>
      </c>
      <c r="H920" s="22">
        <f>180</f>
        <v>180</v>
      </c>
      <c r="I920" s="22">
        <f>Table1[[#This Row],[Total Weight Imported (lbs)]]*0.453592</f>
        <v>81.646559999999994</v>
      </c>
      <c r="J920" s="23">
        <f>562.5</f>
        <v>562.5</v>
      </c>
      <c r="K920" s="41"/>
    </row>
    <row r="921" spans="1:11" ht="15.75" customHeight="1">
      <c r="A921" s="27" t="s">
        <v>258</v>
      </c>
      <c r="B921" s="27" t="s">
        <v>28</v>
      </c>
      <c r="C921" s="27" t="s">
        <v>14</v>
      </c>
      <c r="D921" s="20" t="str">
        <f>VLOOKUP(Table1[[#This Row],[Point of Origin]],Table2[#All],2,0)</f>
        <v>USA</v>
      </c>
      <c r="E921" s="20" t="str">
        <f>VLOOKUP(Table1[[#This Row],[Point of Origin]],Table2[#All],3,0)</f>
        <v>Domestic</v>
      </c>
      <c r="F921" s="27" t="s">
        <v>137</v>
      </c>
      <c r="G921" s="21" t="s">
        <v>138</v>
      </c>
      <c r="H921" s="22">
        <f>1080</f>
        <v>1080</v>
      </c>
      <c r="I921" s="22">
        <f>Table1[[#This Row],[Total Weight Imported (lbs)]]*0.453592</f>
        <v>489.87936000000002</v>
      </c>
      <c r="J921" s="23">
        <f>918</f>
        <v>918</v>
      </c>
      <c r="K921" s="1"/>
    </row>
    <row r="922" spans="1:11" ht="15.75" customHeight="1">
      <c r="A922" s="27" t="s">
        <v>258</v>
      </c>
      <c r="B922" s="27" t="s">
        <v>28</v>
      </c>
      <c r="C922" s="27" t="s">
        <v>14</v>
      </c>
      <c r="D922" s="20" t="str">
        <f>VLOOKUP(Table1[[#This Row],[Point of Origin]],Table2[#All],2,0)</f>
        <v>USA</v>
      </c>
      <c r="E922" s="20" t="str">
        <f>VLOOKUP(Table1[[#This Row],[Point of Origin]],Table2[#All],3,0)</f>
        <v>Domestic</v>
      </c>
      <c r="F922" s="20" t="s">
        <v>59</v>
      </c>
      <c r="G922" s="21" t="s">
        <v>60</v>
      </c>
      <c r="H922" s="22">
        <f>255+2128+170+250+1155</f>
        <v>3958</v>
      </c>
      <c r="I922" s="22">
        <f>Table1[[#This Row],[Total Weight Imported (lbs)]]*0.453592</f>
        <v>1795.3171359999999</v>
      </c>
      <c r="J922" s="23">
        <f>401.25+2744+245+422.5+1242.5</f>
        <v>5055.25</v>
      </c>
      <c r="K922" s="41"/>
    </row>
    <row r="923" spans="1:11" ht="15.75" customHeight="1">
      <c r="A923" s="27" t="s">
        <v>258</v>
      </c>
      <c r="B923" s="27" t="s">
        <v>28</v>
      </c>
      <c r="C923" s="27" t="s">
        <v>14</v>
      </c>
      <c r="D923" s="20" t="str">
        <f>VLOOKUP(Table1[[#This Row],[Point of Origin]],Table2[#All],2,0)</f>
        <v>USA</v>
      </c>
      <c r="E923" s="20" t="str">
        <f>VLOOKUP(Table1[[#This Row],[Point of Origin]],Table2[#All],3,0)</f>
        <v>Domestic</v>
      </c>
      <c r="F923" s="27" t="s">
        <v>147</v>
      </c>
      <c r="G923" s="21" t="s">
        <v>138</v>
      </c>
      <c r="H923" s="22">
        <f>108</f>
        <v>108</v>
      </c>
      <c r="I923" s="22">
        <f>Table1[[#This Row],[Total Weight Imported (lbs)]]*0.453592</f>
        <v>48.987935999999998</v>
      </c>
      <c r="J923" s="23">
        <v>138</v>
      </c>
      <c r="K923" s="41"/>
    </row>
    <row r="924" spans="1:11" ht="15.75" customHeight="1">
      <c r="A924" s="27" t="s">
        <v>258</v>
      </c>
      <c r="B924" s="27" t="s">
        <v>28</v>
      </c>
      <c r="C924" s="27" t="s">
        <v>14</v>
      </c>
      <c r="D924" s="20" t="str">
        <f>VLOOKUP(Table1[[#This Row],[Point of Origin]],Table2[#All],2,0)</f>
        <v>USA</v>
      </c>
      <c r="E924" s="20" t="str">
        <f>VLOOKUP(Table1[[#This Row],[Point of Origin]],Table2[#All],3,0)</f>
        <v>Domestic</v>
      </c>
      <c r="F924" s="20" t="s">
        <v>48</v>
      </c>
      <c r="G924" s="21" t="s">
        <v>49</v>
      </c>
      <c r="H924" s="22">
        <f>160</f>
        <v>160</v>
      </c>
      <c r="I924" s="22">
        <f>Table1[[#This Row],[Total Weight Imported (lbs)]]*0.453592</f>
        <v>72.574719999999999</v>
      </c>
      <c r="J924" s="23">
        <v>440</v>
      </c>
      <c r="K924" s="41"/>
    </row>
    <row r="925" spans="1:11" ht="15.75" customHeight="1">
      <c r="A925" s="27" t="s">
        <v>258</v>
      </c>
      <c r="B925" s="27" t="s">
        <v>28</v>
      </c>
      <c r="C925" s="27" t="s">
        <v>14</v>
      </c>
      <c r="D925" s="20" t="str">
        <f>VLOOKUP(Table1[[#This Row],[Point of Origin]],Table2[#All],2,0)</f>
        <v>USA</v>
      </c>
      <c r="E925" s="20" t="str">
        <f>VLOOKUP(Table1[[#This Row],[Point of Origin]],Table2[#All],3,0)</f>
        <v>Domestic</v>
      </c>
      <c r="F925" s="27" t="s">
        <v>157</v>
      </c>
      <c r="G925" s="21" t="s">
        <v>127</v>
      </c>
      <c r="H925" s="22">
        <f>1710</f>
        <v>1710</v>
      </c>
      <c r="I925" s="22">
        <f>Table1[[#This Row],[Total Weight Imported (lbs)]]*0.453592</f>
        <v>775.64232000000004</v>
      </c>
      <c r="J925" s="23">
        <f>1080</f>
        <v>1080</v>
      </c>
      <c r="K925" s="41"/>
    </row>
    <row r="926" spans="1:11" ht="15.75" customHeight="1">
      <c r="A926" s="27" t="s">
        <v>258</v>
      </c>
      <c r="B926" s="27" t="s">
        <v>28</v>
      </c>
      <c r="C926" s="27" t="s">
        <v>14</v>
      </c>
      <c r="D926" s="20" t="str">
        <f>VLOOKUP(Table1[[#This Row],[Point of Origin]],Table2[#All],2,0)</f>
        <v>USA</v>
      </c>
      <c r="E926" s="20" t="str">
        <f>VLOOKUP(Table1[[#This Row],[Point of Origin]],Table2[#All],3,0)</f>
        <v>Domestic</v>
      </c>
      <c r="F926" s="27" t="s">
        <v>158</v>
      </c>
      <c r="G926" s="21" t="s">
        <v>127</v>
      </c>
      <c r="H926" s="22">
        <f>3550</f>
        <v>3550</v>
      </c>
      <c r="I926" s="22">
        <f>Table1[[#This Row],[Total Weight Imported (lbs)]]*0.453592</f>
        <v>1610.2516000000001</v>
      </c>
      <c r="J926" s="23">
        <f>2272</f>
        <v>2272</v>
      </c>
      <c r="K926" s="41"/>
    </row>
    <row r="927" spans="1:11" ht="15.75" customHeight="1">
      <c r="A927" s="27" t="s">
        <v>258</v>
      </c>
      <c r="B927" s="27" t="s">
        <v>28</v>
      </c>
      <c r="C927" s="27" t="s">
        <v>14</v>
      </c>
      <c r="D927" s="20" t="str">
        <f>VLOOKUP(Table1[[#This Row],[Point of Origin]],Table2[#All],2,0)</f>
        <v>USA</v>
      </c>
      <c r="E927" s="20" t="str">
        <f>VLOOKUP(Table1[[#This Row],[Point of Origin]],Table2[#All],3,0)</f>
        <v>Domestic</v>
      </c>
      <c r="F927" s="27" t="s">
        <v>161</v>
      </c>
      <c r="G927" s="21" t="s">
        <v>162</v>
      </c>
      <c r="H927" s="22">
        <f>300</f>
        <v>300</v>
      </c>
      <c r="I927" s="22">
        <f>Table1[[#This Row],[Total Weight Imported (lbs)]]*0.453592</f>
        <v>136.07759999999999</v>
      </c>
      <c r="J927" s="23">
        <v>192.5</v>
      </c>
      <c r="K927" s="41"/>
    </row>
    <row r="928" spans="1:11" ht="15.75" customHeight="1">
      <c r="A928" s="27" t="s">
        <v>258</v>
      </c>
      <c r="B928" s="27" t="s">
        <v>28</v>
      </c>
      <c r="C928" s="27" t="s">
        <v>14</v>
      </c>
      <c r="D928" s="20" t="str">
        <f>VLOOKUP(Table1[[#This Row],[Point of Origin]],Table2[#All],2,0)</f>
        <v>USA</v>
      </c>
      <c r="E928" s="20" t="str">
        <f>VLOOKUP(Table1[[#This Row],[Point of Origin]],Table2[#All],3,0)</f>
        <v>Domestic</v>
      </c>
      <c r="F928" s="20" t="s">
        <v>36</v>
      </c>
      <c r="G928" s="21" t="s">
        <v>37</v>
      </c>
      <c r="H928" s="22">
        <f>350</f>
        <v>350</v>
      </c>
      <c r="I928" s="22">
        <f>Table1[[#This Row],[Total Weight Imported (lbs)]]*0.453592</f>
        <v>158.75720000000001</v>
      </c>
      <c r="J928" s="23">
        <v>1050</v>
      </c>
      <c r="K928" s="1"/>
    </row>
    <row r="929" spans="1:11" ht="15.75" customHeight="1">
      <c r="A929" s="27" t="s">
        <v>258</v>
      </c>
      <c r="B929" s="27" t="s">
        <v>28</v>
      </c>
      <c r="C929" s="27" t="s">
        <v>14</v>
      </c>
      <c r="D929" s="20" t="str">
        <f>VLOOKUP(Table1[[#This Row],[Point of Origin]],Table2[#All],2,0)</f>
        <v>USA</v>
      </c>
      <c r="E929" s="20" t="str">
        <f>VLOOKUP(Table1[[#This Row],[Point of Origin]],Table2[#All],3,0)</f>
        <v>Domestic</v>
      </c>
      <c r="F929" s="27" t="s">
        <v>58</v>
      </c>
      <c r="G929" s="21" t="s">
        <v>34</v>
      </c>
      <c r="H929" s="22">
        <f>1300</f>
        <v>1300</v>
      </c>
      <c r="I929" s="22">
        <f>Table1[[#This Row],[Total Weight Imported (lbs)]]*0.453592</f>
        <v>589.66959999999995</v>
      </c>
      <c r="J929" s="23">
        <v>1056.25</v>
      </c>
      <c r="K929" s="1"/>
    </row>
    <row r="930" spans="1:11" ht="15.75" customHeight="1">
      <c r="A930" s="27" t="s">
        <v>258</v>
      </c>
      <c r="B930" s="27" t="s">
        <v>28</v>
      </c>
      <c r="C930" s="27" t="s">
        <v>14</v>
      </c>
      <c r="D930" s="20" t="str">
        <f>VLOOKUP(Table1[[#This Row],[Point of Origin]],Table2[#All],2,0)</f>
        <v>USA</v>
      </c>
      <c r="E930" s="20" t="str">
        <f>VLOOKUP(Table1[[#This Row],[Point of Origin]],Table2[#All],3,0)</f>
        <v>Domestic</v>
      </c>
      <c r="F930" s="20" t="s">
        <v>76</v>
      </c>
      <c r="G930" s="21" t="s">
        <v>77</v>
      </c>
      <c r="H930" s="22">
        <v>75</v>
      </c>
      <c r="I930" s="22">
        <f>Table1[[#This Row],[Total Weight Imported (lbs)]]*0.453592</f>
        <v>34.019399999999997</v>
      </c>
      <c r="J930" s="23">
        <v>115.5</v>
      </c>
      <c r="K930" s="1"/>
    </row>
    <row r="931" spans="1:11" ht="15.75" customHeight="1">
      <c r="A931" s="27" t="s">
        <v>258</v>
      </c>
      <c r="B931" s="27" t="s">
        <v>28</v>
      </c>
      <c r="C931" s="27" t="s">
        <v>14</v>
      </c>
      <c r="D931" s="20" t="str">
        <f>VLOOKUP(Table1[[#This Row],[Point of Origin]],Table2[#All],2,0)</f>
        <v>USA</v>
      </c>
      <c r="E931" s="20" t="str">
        <f>VLOOKUP(Table1[[#This Row],[Point of Origin]],Table2[#All],3,0)</f>
        <v>Domestic</v>
      </c>
      <c r="F931" s="20" t="s">
        <v>76</v>
      </c>
      <c r="G931" s="21" t="s">
        <v>77</v>
      </c>
      <c r="H931" s="22">
        <v>75</v>
      </c>
      <c r="I931" s="22">
        <f>Table1[[#This Row],[Total Weight Imported (lbs)]]*0.453592</f>
        <v>34.019399999999997</v>
      </c>
      <c r="J931" s="23">
        <v>115.5</v>
      </c>
      <c r="K931" s="1"/>
    </row>
    <row r="932" spans="1:11" ht="15.75" customHeight="1">
      <c r="A932" s="27" t="s">
        <v>258</v>
      </c>
      <c r="B932" s="27" t="s">
        <v>28</v>
      </c>
      <c r="C932" s="27" t="s">
        <v>14</v>
      </c>
      <c r="D932" s="20" t="str">
        <f>VLOOKUP(Table1[[#This Row],[Point of Origin]],Table2[#All],2,0)</f>
        <v>USA</v>
      </c>
      <c r="E932" s="20" t="str">
        <f>VLOOKUP(Table1[[#This Row],[Point of Origin]],Table2[#All],3,0)</f>
        <v>Domestic</v>
      </c>
      <c r="F932" s="20" t="s">
        <v>43</v>
      </c>
      <c r="G932" s="21" t="s">
        <v>44</v>
      </c>
      <c r="H932" s="22">
        <f>200+280+800</f>
        <v>1280</v>
      </c>
      <c r="I932" s="22">
        <f>Table1[[#This Row],[Total Weight Imported (lbs)]]*0.453592</f>
        <v>580.59775999999999</v>
      </c>
      <c r="J932" s="23">
        <f>200+278.25+720</f>
        <v>1198.25</v>
      </c>
      <c r="K932" s="41"/>
    </row>
    <row r="933" spans="1:11" ht="15.75" customHeight="1">
      <c r="A933" s="27" t="s">
        <v>258</v>
      </c>
      <c r="B933" s="27" t="s">
        <v>28</v>
      </c>
      <c r="C933" s="27" t="s">
        <v>14</v>
      </c>
      <c r="D933" s="20" t="str">
        <f>VLOOKUP(Table1[[#This Row],[Point of Origin]],Table2[#All],2,0)</f>
        <v>USA</v>
      </c>
      <c r="E933" s="20" t="str">
        <f>VLOOKUP(Table1[[#This Row],[Point of Origin]],Table2[#All],3,0)</f>
        <v>Domestic</v>
      </c>
      <c r="F933" s="27" t="s">
        <v>102</v>
      </c>
      <c r="G933" s="21" t="s">
        <v>32</v>
      </c>
      <c r="H933" s="22">
        <f>36</f>
        <v>36</v>
      </c>
      <c r="I933" s="22">
        <f>Table1[[#This Row],[Total Weight Imported (lbs)]]*0.453592</f>
        <v>16.329312000000002</v>
      </c>
      <c r="J933" s="23">
        <f>63</f>
        <v>63</v>
      </c>
      <c r="K933" s="41"/>
    </row>
    <row r="934" spans="1:11" ht="15.75" customHeight="1">
      <c r="A934" s="27" t="s">
        <v>258</v>
      </c>
      <c r="B934" s="27" t="s">
        <v>28</v>
      </c>
      <c r="C934" s="27" t="s">
        <v>14</v>
      </c>
      <c r="D934" s="20" t="str">
        <f>VLOOKUP(Table1[[#This Row],[Point of Origin]],Table2[#All],2,0)</f>
        <v>USA</v>
      </c>
      <c r="E934" s="20" t="str">
        <f>VLOOKUP(Table1[[#This Row],[Point of Origin]],Table2[#All],3,0)</f>
        <v>Domestic</v>
      </c>
      <c r="F934" s="27" t="s">
        <v>169</v>
      </c>
      <c r="G934" s="21" t="s">
        <v>170</v>
      </c>
      <c r="H934" s="22">
        <f>50</f>
        <v>50</v>
      </c>
      <c r="I934" s="22">
        <f>Table1[[#This Row],[Total Weight Imported (lbs)]]*0.453592</f>
        <v>22.679600000000001</v>
      </c>
      <c r="J934" s="23">
        <f>165</f>
        <v>165</v>
      </c>
      <c r="K934" s="41"/>
    </row>
    <row r="935" spans="1:11" ht="15.75" customHeight="1">
      <c r="A935" s="27" t="s">
        <v>258</v>
      </c>
      <c r="B935" s="27" t="s">
        <v>28</v>
      </c>
      <c r="C935" s="27" t="s">
        <v>14</v>
      </c>
      <c r="D935" s="20" t="str">
        <f>VLOOKUP(Table1[[#This Row],[Point of Origin]],Table2[#All],2,0)</f>
        <v>USA</v>
      </c>
      <c r="E935" s="20" t="str">
        <f>VLOOKUP(Table1[[#This Row],[Point of Origin]],Table2[#All],3,0)</f>
        <v>Domestic</v>
      </c>
      <c r="F935" s="20" t="s">
        <v>81</v>
      </c>
      <c r="G935" s="21" t="s">
        <v>62</v>
      </c>
      <c r="H935" s="22">
        <f>1000+500+175</f>
        <v>1675</v>
      </c>
      <c r="I935" s="22">
        <f>Table1[[#This Row],[Total Weight Imported (lbs)]]*0.453592</f>
        <v>759.76660000000004</v>
      </c>
      <c r="J935" s="23">
        <f>2140+1270+444.5</f>
        <v>3854.5</v>
      </c>
      <c r="K935" s="41"/>
    </row>
    <row r="936" spans="1:11" ht="15.75" customHeight="1">
      <c r="A936" s="27" t="s">
        <v>258</v>
      </c>
      <c r="B936" s="27" t="s">
        <v>28</v>
      </c>
      <c r="C936" s="27" t="s">
        <v>14</v>
      </c>
      <c r="D936" s="20" t="str">
        <f>VLOOKUP(Table1[[#This Row],[Point of Origin]],Table2[#All],2,0)</f>
        <v>USA</v>
      </c>
      <c r="E936" s="20" t="str">
        <f>VLOOKUP(Table1[[#This Row],[Point of Origin]],Table2[#All],3,0)</f>
        <v>Domestic</v>
      </c>
      <c r="F936" s="27" t="s">
        <v>159</v>
      </c>
      <c r="G936" s="21" t="s">
        <v>160</v>
      </c>
      <c r="H936" s="22">
        <f>875</f>
        <v>875</v>
      </c>
      <c r="I936" s="22">
        <f>Table1[[#This Row],[Total Weight Imported (lbs)]]*0.453592</f>
        <v>396.89299999999997</v>
      </c>
      <c r="J936" s="23">
        <f>700</f>
        <v>700</v>
      </c>
      <c r="K936" s="1"/>
    </row>
    <row r="937" spans="1:11" ht="15.75" customHeight="1">
      <c r="A937" s="27" t="s">
        <v>258</v>
      </c>
      <c r="B937" s="27" t="s">
        <v>28</v>
      </c>
      <c r="C937" s="27" t="s">
        <v>14</v>
      </c>
      <c r="D937" s="20" t="str">
        <f>VLOOKUP(Table1[[#This Row],[Point of Origin]],Table2[#All],2,0)</f>
        <v>USA</v>
      </c>
      <c r="E937" s="20" t="str">
        <f>VLOOKUP(Table1[[#This Row],[Point of Origin]],Table2[#All],3,0)</f>
        <v>Domestic</v>
      </c>
      <c r="F937" s="27" t="s">
        <v>141</v>
      </c>
      <c r="G937" s="21" t="s">
        <v>142</v>
      </c>
      <c r="H937" s="22">
        <f>750+2250</f>
        <v>3000</v>
      </c>
      <c r="I937" s="22">
        <f>Table1[[#This Row],[Total Weight Imported (lbs)]]*0.453592</f>
        <v>1360.7760000000001</v>
      </c>
      <c r="J937" s="23">
        <f>375+675</f>
        <v>1050</v>
      </c>
      <c r="K937" s="41"/>
    </row>
    <row r="938" spans="1:11" ht="15.75" customHeight="1">
      <c r="A938" s="27" t="s">
        <v>258</v>
      </c>
      <c r="B938" s="27" t="s">
        <v>28</v>
      </c>
      <c r="C938" s="27" t="s">
        <v>14</v>
      </c>
      <c r="D938" s="20" t="str">
        <f>VLOOKUP(Table1[[#This Row],[Point of Origin]],Table2[#All],2,0)</f>
        <v>USA</v>
      </c>
      <c r="E938" s="20" t="str">
        <f>VLOOKUP(Table1[[#This Row],[Point of Origin]],Table2[#All],3,0)</f>
        <v>Domestic</v>
      </c>
      <c r="F938" s="20" t="s">
        <v>54</v>
      </c>
      <c r="G938" s="21" t="s">
        <v>30</v>
      </c>
      <c r="H938" s="22">
        <f>311</f>
        <v>311</v>
      </c>
      <c r="I938" s="22">
        <f>Table1[[#This Row],[Total Weight Imported (lbs)]]*0.453592</f>
        <v>141.06711200000001</v>
      </c>
      <c r="J938" s="23">
        <f>345</f>
        <v>345</v>
      </c>
      <c r="K938" s="41"/>
    </row>
    <row r="939" spans="1:11" ht="15.75" customHeight="1">
      <c r="A939" s="27" t="s">
        <v>258</v>
      </c>
      <c r="B939" s="27" t="s">
        <v>28</v>
      </c>
      <c r="C939" s="27" t="s">
        <v>14</v>
      </c>
      <c r="D939" s="20" t="str">
        <f>VLOOKUP(Table1[[#This Row],[Point of Origin]],Table2[#All],2,0)</f>
        <v>USA</v>
      </c>
      <c r="E939" s="20" t="str">
        <f>VLOOKUP(Table1[[#This Row],[Point of Origin]],Table2[#All],3,0)</f>
        <v>Domestic</v>
      </c>
      <c r="F939" s="20" t="s">
        <v>50</v>
      </c>
      <c r="G939" s="21" t="s">
        <v>51</v>
      </c>
      <c r="H939" s="22">
        <f>345</f>
        <v>345</v>
      </c>
      <c r="I939" s="22">
        <f>Table1[[#This Row],[Total Weight Imported (lbs)]]*0.453592</f>
        <v>156.48924</v>
      </c>
      <c r="J939" s="23">
        <f>820+79.5</f>
        <v>899.5</v>
      </c>
      <c r="K939" s="41"/>
    </row>
    <row r="940" spans="1:11" ht="15.75" customHeight="1">
      <c r="A940" s="27" t="s">
        <v>258</v>
      </c>
      <c r="B940" s="27" t="s">
        <v>28</v>
      </c>
      <c r="C940" s="27" t="s">
        <v>14</v>
      </c>
      <c r="D940" s="20" t="str">
        <f>VLOOKUP(Table1[[#This Row],[Point of Origin]],Table2[#All],2,0)</f>
        <v>USA</v>
      </c>
      <c r="E940" s="20" t="str">
        <f>VLOOKUP(Table1[[#This Row],[Point of Origin]],Table2[#All],3,0)</f>
        <v>Domestic</v>
      </c>
      <c r="F940" s="20" t="s">
        <v>63</v>
      </c>
      <c r="G940" s="21" t="s">
        <v>64</v>
      </c>
      <c r="H940" s="22">
        <v>600</v>
      </c>
      <c r="I940" s="22">
        <f>Table1[[#This Row],[Total Weight Imported (lbs)]]*0.453592</f>
        <v>272.15519999999998</v>
      </c>
      <c r="J940" s="23">
        <v>600</v>
      </c>
      <c r="K940" s="1"/>
    </row>
    <row r="941" spans="1:11" ht="15.75" customHeight="1">
      <c r="A941" s="27" t="s">
        <v>258</v>
      </c>
      <c r="B941" s="27" t="s">
        <v>28</v>
      </c>
      <c r="C941" s="27" t="s">
        <v>14</v>
      </c>
      <c r="D941" s="20" t="str">
        <f>VLOOKUP(Table1[[#This Row],[Point of Origin]],Table2[#All],2,0)</f>
        <v>USA</v>
      </c>
      <c r="E941" s="20" t="str">
        <f>VLOOKUP(Table1[[#This Row],[Point of Origin]],Table2[#All],3,0)</f>
        <v>Domestic</v>
      </c>
      <c r="F941" s="20" t="s">
        <v>63</v>
      </c>
      <c r="G941" s="21" t="s">
        <v>64</v>
      </c>
      <c r="H941" s="22">
        <f>192</f>
        <v>192</v>
      </c>
      <c r="I941" s="22">
        <f>Table1[[#This Row],[Total Weight Imported (lbs)]]*0.453592</f>
        <v>87.089663999999999</v>
      </c>
      <c r="J941" s="23">
        <f>124</f>
        <v>124</v>
      </c>
      <c r="K941" s="1"/>
    </row>
    <row r="942" spans="1:11" ht="15.75" customHeight="1">
      <c r="A942" s="27" t="s">
        <v>258</v>
      </c>
      <c r="B942" s="27" t="s">
        <v>28</v>
      </c>
      <c r="C942" s="27" t="s">
        <v>14</v>
      </c>
      <c r="D942" s="20" t="str">
        <f>VLOOKUP(Table1[[#This Row],[Point of Origin]],Table2[#All],2,0)</f>
        <v>USA</v>
      </c>
      <c r="E942" s="20" t="str">
        <f>VLOOKUP(Table1[[#This Row],[Point of Origin]],Table2[#All],3,0)</f>
        <v>Domestic</v>
      </c>
      <c r="F942" s="20" t="s">
        <v>38</v>
      </c>
      <c r="G942" s="21" t="s">
        <v>39</v>
      </c>
      <c r="H942" s="22">
        <f>1400+375+750</f>
        <v>2525</v>
      </c>
      <c r="I942" s="22">
        <f>Table1[[#This Row],[Total Weight Imported (lbs)]]*0.453592</f>
        <v>1145.3198</v>
      </c>
      <c r="J942" s="23">
        <f>2730+662.5+762.5</f>
        <v>4155</v>
      </c>
      <c r="K942" s="41"/>
    </row>
    <row r="943" spans="1:11" ht="15.75" customHeight="1">
      <c r="A943" s="28" t="s">
        <v>259</v>
      </c>
      <c r="B943" s="28" t="s">
        <v>28</v>
      </c>
      <c r="C943" s="28" t="s">
        <v>14</v>
      </c>
      <c r="D943" s="28" t="str">
        <f>VLOOKUP(Table1[[#This Row],[Point of Origin]],Table2[#All],2,0)</f>
        <v>USA</v>
      </c>
      <c r="E943" s="28" t="str">
        <f>VLOOKUP(Table1[[#This Row],[Point of Origin]],Table2[#All],3,0)</f>
        <v>Domestic</v>
      </c>
      <c r="F943" s="28" t="s">
        <v>15</v>
      </c>
      <c r="G943" s="21" t="s">
        <v>16</v>
      </c>
      <c r="H943" s="22">
        <v>220</v>
      </c>
      <c r="I943" s="22">
        <f>Table1[[#This Row],[Total Weight Imported (lbs)]]*0.453592</f>
        <v>99.790239999999997</v>
      </c>
      <c r="J943" s="23">
        <v>1090</v>
      </c>
      <c r="K943" s="41"/>
    </row>
    <row r="944" spans="1:11" ht="15.75" customHeight="1">
      <c r="A944" s="28" t="s">
        <v>259</v>
      </c>
      <c r="B944" s="28" t="s">
        <v>28</v>
      </c>
      <c r="C944" s="28" t="s">
        <v>14</v>
      </c>
      <c r="D944" s="28" t="str">
        <f>VLOOKUP(Table1[[#This Row],[Point of Origin]],Table2[#All],2,0)</f>
        <v>USA</v>
      </c>
      <c r="E944" s="28" t="str">
        <f>VLOOKUP(Table1[[#This Row],[Point of Origin]],Table2[#All],3,0)</f>
        <v>Domestic</v>
      </c>
      <c r="F944" s="28" t="s">
        <v>67</v>
      </c>
      <c r="G944" s="21" t="s">
        <v>68</v>
      </c>
      <c r="H944" s="22">
        <v>54</v>
      </c>
      <c r="I944" s="22">
        <f>Table1[[#This Row],[Total Weight Imported (lbs)]]*0.453592</f>
        <v>24.493967999999999</v>
      </c>
      <c r="J944" s="23">
        <v>138</v>
      </c>
      <c r="K944" s="41"/>
    </row>
    <row r="945" spans="1:11" ht="15.75" customHeight="1">
      <c r="A945" s="28" t="s">
        <v>259</v>
      </c>
      <c r="B945" s="28" t="s">
        <v>28</v>
      </c>
      <c r="C945" s="28" t="s">
        <v>14</v>
      </c>
      <c r="D945" s="28" t="str">
        <f>VLOOKUP(Table1[[#This Row],[Point of Origin]],Table2[#All],2,0)</f>
        <v>USA</v>
      </c>
      <c r="E945" s="28" t="str">
        <f>VLOOKUP(Table1[[#This Row],[Point of Origin]],Table2[#All],3,0)</f>
        <v>Domestic</v>
      </c>
      <c r="F945" s="28" t="s">
        <v>19</v>
      </c>
      <c r="G945" s="21" t="s">
        <v>20</v>
      </c>
      <c r="H945" s="22">
        <v>324</v>
      </c>
      <c r="I945" s="22">
        <f>Table1[[#This Row],[Total Weight Imported (lbs)]]*0.453592</f>
        <v>146.963808</v>
      </c>
      <c r="J945" s="23">
        <v>504</v>
      </c>
      <c r="K945" s="41"/>
    </row>
    <row r="946" spans="1:11" ht="15.75" customHeight="1">
      <c r="A946" s="28" t="s">
        <v>259</v>
      </c>
      <c r="B946" s="28" t="s">
        <v>28</v>
      </c>
      <c r="C946" s="28" t="s">
        <v>14</v>
      </c>
      <c r="D946" s="28" t="str">
        <f>VLOOKUP(Table1[[#This Row],[Point of Origin]],Table2[#All],2,0)</f>
        <v>USA</v>
      </c>
      <c r="E946" s="28" t="str">
        <f>VLOOKUP(Table1[[#This Row],[Point of Origin]],Table2[#All],3,0)</f>
        <v>Domestic</v>
      </c>
      <c r="F946" s="28" t="s">
        <v>21</v>
      </c>
      <c r="G946" s="21" t="s">
        <v>22</v>
      </c>
      <c r="H946" s="22">
        <v>75</v>
      </c>
      <c r="I946" s="22">
        <f>Table1[[#This Row],[Total Weight Imported (lbs)]]*0.453592</f>
        <v>34.019399999999997</v>
      </c>
      <c r="J946" s="23">
        <v>108</v>
      </c>
      <c r="K946" s="41"/>
    </row>
    <row r="947" spans="1:11" ht="15.75" customHeight="1">
      <c r="A947" s="28" t="s">
        <v>259</v>
      </c>
      <c r="B947" s="28" t="s">
        <v>28</v>
      </c>
      <c r="C947" s="28" t="s">
        <v>14</v>
      </c>
      <c r="D947" s="28" t="str">
        <f>VLOOKUP(Table1[[#This Row],[Point of Origin]],Table2[#All],2,0)</f>
        <v>USA</v>
      </c>
      <c r="E947" s="28" t="str">
        <f>VLOOKUP(Table1[[#This Row],[Point of Origin]],Table2[#All],3,0)</f>
        <v>Domestic</v>
      </c>
      <c r="F947" s="28" t="s">
        <v>82</v>
      </c>
      <c r="G947" s="21" t="s">
        <v>20</v>
      </c>
      <c r="H947" s="22">
        <f>250+275+112</f>
        <v>637</v>
      </c>
      <c r="I947" s="22">
        <f>Table1[[#This Row],[Total Weight Imported (lbs)]]*0.453592</f>
        <v>288.93810400000001</v>
      </c>
      <c r="J947" s="23">
        <f>200+157.5+132</f>
        <v>489.5</v>
      </c>
      <c r="K947" s="41"/>
    </row>
    <row r="948" spans="1:11" ht="15.75" customHeight="1">
      <c r="A948" s="28" t="s">
        <v>259</v>
      </c>
      <c r="B948" s="28" t="s">
        <v>28</v>
      </c>
      <c r="C948" s="28" t="s">
        <v>14</v>
      </c>
      <c r="D948" s="28" t="str">
        <f>VLOOKUP(Table1[[#This Row],[Point of Origin]],Table2[#All],2,0)</f>
        <v>USA</v>
      </c>
      <c r="E948" s="28" t="str">
        <f>VLOOKUP(Table1[[#This Row],[Point of Origin]],Table2[#All],3,0)</f>
        <v>Domestic</v>
      </c>
      <c r="F948" s="28" t="s">
        <v>82</v>
      </c>
      <c r="G948" s="21" t="s">
        <v>20</v>
      </c>
      <c r="H948" s="22">
        <f>100</f>
        <v>100</v>
      </c>
      <c r="I948" s="22">
        <f>Table1[[#This Row],[Total Weight Imported (lbs)]]*0.453592</f>
        <v>45.359200000000001</v>
      </c>
      <c r="J948" s="23">
        <f>56</f>
        <v>56</v>
      </c>
      <c r="K948" s="41"/>
    </row>
    <row r="949" spans="1:11" ht="15.75" customHeight="1">
      <c r="A949" s="28" t="s">
        <v>259</v>
      </c>
      <c r="B949" s="28" t="s">
        <v>28</v>
      </c>
      <c r="C949" s="28" t="s">
        <v>14</v>
      </c>
      <c r="D949" s="28" t="str">
        <f>VLOOKUP(Table1[[#This Row],[Point of Origin]],Table2[#All],2,0)</f>
        <v>USA</v>
      </c>
      <c r="E949" s="28" t="str">
        <f>VLOOKUP(Table1[[#This Row],[Point of Origin]],Table2[#All],3,0)</f>
        <v>Domestic</v>
      </c>
      <c r="F949" s="28" t="s">
        <v>40</v>
      </c>
      <c r="G949" s="21" t="s">
        <v>41</v>
      </c>
      <c r="H949" s="22">
        <f>50</f>
        <v>50</v>
      </c>
      <c r="I949" s="22">
        <f>Table1[[#This Row],[Total Weight Imported (lbs)]]*0.453592</f>
        <v>22.679600000000001</v>
      </c>
      <c r="J949" s="23">
        <f>30</f>
        <v>30</v>
      </c>
      <c r="K949" s="41"/>
    </row>
    <row r="950" spans="1:11" ht="15.75" customHeight="1">
      <c r="A950" s="28" t="s">
        <v>259</v>
      </c>
      <c r="B950" s="28" t="s">
        <v>28</v>
      </c>
      <c r="C950" s="28" t="s">
        <v>14</v>
      </c>
      <c r="D950" s="28" t="str">
        <f>VLOOKUP(Table1[[#This Row],[Point of Origin]],Table2[#All],2,0)</f>
        <v>USA</v>
      </c>
      <c r="E950" s="28" t="str">
        <f>VLOOKUP(Table1[[#This Row],[Point of Origin]],Table2[#All],3,0)</f>
        <v>Domestic</v>
      </c>
      <c r="F950" s="28" t="s">
        <v>19</v>
      </c>
      <c r="G950" s="21" t="s">
        <v>20</v>
      </c>
      <c r="H950" s="22">
        <v>18</v>
      </c>
      <c r="I950" s="22">
        <f>Table1[[#This Row],[Total Weight Imported (lbs)]]*0.453592</f>
        <v>8.1646560000000008</v>
      </c>
      <c r="J950" s="23">
        <v>39</v>
      </c>
      <c r="K950" s="41"/>
    </row>
    <row r="951" spans="1:11" ht="15.75" customHeight="1">
      <c r="A951" s="28" t="s">
        <v>259</v>
      </c>
      <c r="B951" s="28" t="s">
        <v>28</v>
      </c>
      <c r="C951" s="28" t="s">
        <v>14</v>
      </c>
      <c r="D951" s="28" t="str">
        <f>VLOOKUP(Table1[[#This Row],[Point of Origin]],Table2[#All],2,0)</f>
        <v>USA</v>
      </c>
      <c r="E951" s="28" t="str">
        <f>VLOOKUP(Table1[[#This Row],[Point of Origin]],Table2[#All],3,0)</f>
        <v>Domestic</v>
      </c>
      <c r="F951" s="36" t="s">
        <v>56</v>
      </c>
      <c r="G951" s="21" t="s">
        <v>57</v>
      </c>
      <c r="H951" s="22">
        <v>104</v>
      </c>
      <c r="I951" s="22">
        <f>Table1[[#This Row],[Total Weight Imported (lbs)]]*0.453592</f>
        <v>47.173568000000003</v>
      </c>
      <c r="J951" s="23">
        <v>49</v>
      </c>
      <c r="K951" s="41"/>
    </row>
    <row r="952" spans="1:11" ht="15.75" customHeight="1">
      <c r="A952" s="28" t="s">
        <v>259</v>
      </c>
      <c r="B952" s="28" t="s">
        <v>28</v>
      </c>
      <c r="C952" s="28" t="s">
        <v>14</v>
      </c>
      <c r="D952" s="28" t="str">
        <f>VLOOKUP(Table1[[#This Row],[Point of Origin]],Table2[#All],2,0)</f>
        <v>USA</v>
      </c>
      <c r="E952" s="28" t="str">
        <f>VLOOKUP(Table1[[#This Row],[Point of Origin]],Table2[#All],3,0)</f>
        <v>Domestic</v>
      </c>
      <c r="F952" s="36" t="s">
        <v>71</v>
      </c>
      <c r="G952" s="21" t="s">
        <v>72</v>
      </c>
      <c r="H952" s="22">
        <v>144</v>
      </c>
      <c r="I952" s="22">
        <f>Table1[[#This Row],[Total Weight Imported (lbs)]]*0.453592</f>
        <v>65.317248000000006</v>
      </c>
      <c r="J952" s="23">
        <v>328</v>
      </c>
      <c r="K952" s="41"/>
    </row>
    <row r="953" spans="1:11" ht="15.75" customHeight="1">
      <c r="A953" s="28" t="s">
        <v>259</v>
      </c>
      <c r="B953" s="28" t="s">
        <v>28</v>
      </c>
      <c r="C953" s="28" t="s">
        <v>14</v>
      </c>
      <c r="D953" s="28" t="str">
        <f>VLOOKUP(Table1[[#This Row],[Point of Origin]],Table2[#All],2,0)</f>
        <v>USA</v>
      </c>
      <c r="E953" s="28" t="str">
        <f>VLOOKUP(Table1[[#This Row],[Point of Origin]],Table2[#All],3,0)</f>
        <v>Domestic</v>
      </c>
      <c r="F953" s="36" t="s">
        <v>71</v>
      </c>
      <c r="G953" s="21" t="s">
        <v>72</v>
      </c>
      <c r="H953" s="22">
        <v>252</v>
      </c>
      <c r="I953" s="22">
        <f>Table1[[#This Row],[Total Weight Imported (lbs)]]*0.453592</f>
        <v>114.305184</v>
      </c>
      <c r="J953" s="23">
        <v>574</v>
      </c>
      <c r="K953" s="41"/>
    </row>
    <row r="954" spans="1:11" ht="15.75" customHeight="1">
      <c r="A954" s="28" t="s">
        <v>259</v>
      </c>
      <c r="B954" s="28" t="s">
        <v>28</v>
      </c>
      <c r="C954" s="28" t="s">
        <v>14</v>
      </c>
      <c r="D954" s="28" t="str">
        <f>VLOOKUP(Table1[[#This Row],[Point of Origin]],Table2[#All],2,0)</f>
        <v>USA</v>
      </c>
      <c r="E954" s="28" t="str">
        <f>VLOOKUP(Table1[[#This Row],[Point of Origin]],Table2[#All],3,0)</f>
        <v>Domestic</v>
      </c>
      <c r="F954" s="36" t="s">
        <v>87</v>
      </c>
      <c r="G954" s="21" t="s">
        <v>20</v>
      </c>
      <c r="H954" s="22">
        <v>384</v>
      </c>
      <c r="I954" s="22">
        <f>Table1[[#This Row],[Total Weight Imported (lbs)]]*0.453592</f>
        <v>174.179328</v>
      </c>
      <c r="J954" s="23">
        <v>560</v>
      </c>
      <c r="K954" s="41"/>
    </row>
    <row r="955" spans="1:11" ht="15.75" customHeight="1">
      <c r="A955" s="28" t="s">
        <v>259</v>
      </c>
      <c r="B955" s="28" t="s">
        <v>28</v>
      </c>
      <c r="C955" s="28" t="s">
        <v>14</v>
      </c>
      <c r="D955" s="28" t="str">
        <f>VLOOKUP(Table1[[#This Row],[Point of Origin]],Table2[#All],2,0)</f>
        <v>USA</v>
      </c>
      <c r="E955" s="28" t="str">
        <f>VLOOKUP(Table1[[#This Row],[Point of Origin]],Table2[#All],3,0)</f>
        <v>Domestic</v>
      </c>
      <c r="F955" s="36" t="s">
        <v>139</v>
      </c>
      <c r="G955" s="21" t="s">
        <v>140</v>
      </c>
      <c r="H955" s="22">
        <f>66</f>
        <v>66</v>
      </c>
      <c r="I955" s="22">
        <f>Table1[[#This Row],[Total Weight Imported (lbs)]]*0.453592</f>
        <v>29.937072000000001</v>
      </c>
      <c r="J955" s="23">
        <v>198</v>
      </c>
      <c r="K955" s="41"/>
    </row>
    <row r="956" spans="1:11" ht="15.75" customHeight="1">
      <c r="A956" s="28" t="s">
        <v>259</v>
      </c>
      <c r="B956" s="28" t="s">
        <v>28</v>
      </c>
      <c r="C956" s="28" t="s">
        <v>14</v>
      </c>
      <c r="D956" s="28" t="str">
        <f>VLOOKUP(Table1[[#This Row],[Point of Origin]],Table2[#All],2,0)</f>
        <v>USA</v>
      </c>
      <c r="E956" s="28" t="str">
        <f>VLOOKUP(Table1[[#This Row],[Point of Origin]],Table2[#All],3,0)</f>
        <v>Domestic</v>
      </c>
      <c r="F956" s="36" t="s">
        <v>137</v>
      </c>
      <c r="G956" s="21" t="s">
        <v>138</v>
      </c>
      <c r="H956" s="22">
        <f>280+120</f>
        <v>400</v>
      </c>
      <c r="I956" s="22">
        <f>Table1[[#This Row],[Total Weight Imported (lbs)]]*0.453592</f>
        <v>181.43680000000001</v>
      </c>
      <c r="J956" s="23">
        <f>290.5+124.5</f>
        <v>415</v>
      </c>
      <c r="K956" s="1"/>
    </row>
    <row r="957" spans="1:11" ht="15.75" customHeight="1">
      <c r="A957" s="28" t="s">
        <v>259</v>
      </c>
      <c r="B957" s="28" t="s">
        <v>28</v>
      </c>
      <c r="C957" s="28" t="s">
        <v>14</v>
      </c>
      <c r="D957" s="28" t="str">
        <f>VLOOKUP(Table1[[#This Row],[Point of Origin]],Table2[#All],2,0)</f>
        <v>USA</v>
      </c>
      <c r="E957" s="28" t="str">
        <f>VLOOKUP(Table1[[#This Row],[Point of Origin]],Table2[#All],3,0)</f>
        <v>Domestic</v>
      </c>
      <c r="F957" s="28" t="s">
        <v>59</v>
      </c>
      <c r="G957" s="21" t="s">
        <v>60</v>
      </c>
      <c r="H957" s="22">
        <f>51+836+3875+660+85</f>
        <v>5507</v>
      </c>
      <c r="I957" s="22">
        <f>Table1[[#This Row],[Total Weight Imported (lbs)]]*0.453592</f>
        <v>2497.9311440000001</v>
      </c>
      <c r="J957" s="23">
        <f>70.5+539+4030+490+112.5</f>
        <v>5242</v>
      </c>
      <c r="K957" s="41"/>
    </row>
    <row r="958" spans="1:11" ht="15.75" customHeight="1">
      <c r="A958" s="28" t="s">
        <v>259</v>
      </c>
      <c r="B958" s="28" t="s">
        <v>28</v>
      </c>
      <c r="C958" s="28" t="s">
        <v>14</v>
      </c>
      <c r="D958" s="28" t="str">
        <f>VLOOKUP(Table1[[#This Row],[Point of Origin]],Table2[#All],2,0)</f>
        <v>USA</v>
      </c>
      <c r="E958" s="28" t="str">
        <f>VLOOKUP(Table1[[#This Row],[Point of Origin]],Table2[#All],3,0)</f>
        <v>Domestic</v>
      </c>
      <c r="F958" s="36" t="s">
        <v>147</v>
      </c>
      <c r="G958" s="21" t="s">
        <v>138</v>
      </c>
      <c r="H958" s="22">
        <f>144</f>
        <v>144</v>
      </c>
      <c r="I958" s="22">
        <f>Table1[[#This Row],[Total Weight Imported (lbs)]]*0.453592</f>
        <v>65.317248000000006</v>
      </c>
      <c r="J958" s="23">
        <f>266</f>
        <v>266</v>
      </c>
      <c r="K958" s="41"/>
    </row>
    <row r="959" spans="1:11" ht="15.75" customHeight="1">
      <c r="A959" s="28" t="s">
        <v>259</v>
      </c>
      <c r="B959" s="28" t="s">
        <v>28</v>
      </c>
      <c r="C959" s="28" t="s">
        <v>14</v>
      </c>
      <c r="D959" s="28" t="str">
        <f>VLOOKUP(Table1[[#This Row],[Point of Origin]],Table2[#All],2,0)</f>
        <v>USA</v>
      </c>
      <c r="E959" s="28" t="str">
        <f>VLOOKUP(Table1[[#This Row],[Point of Origin]],Table2[#All],3,0)</f>
        <v>Domestic</v>
      </c>
      <c r="F959" s="28" t="s">
        <v>48</v>
      </c>
      <c r="G959" s="21" t="s">
        <v>49</v>
      </c>
      <c r="H959" s="22">
        <f>56</f>
        <v>56</v>
      </c>
      <c r="I959" s="22">
        <f>Table1[[#This Row],[Total Weight Imported (lbs)]]*0.453592</f>
        <v>25.401152</v>
      </c>
      <c r="J959" s="23">
        <v>175</v>
      </c>
      <c r="K959" s="41"/>
    </row>
    <row r="960" spans="1:11" ht="15.75" customHeight="1">
      <c r="A960" s="28" t="s">
        <v>259</v>
      </c>
      <c r="B960" s="28" t="s">
        <v>28</v>
      </c>
      <c r="C960" s="28" t="s">
        <v>14</v>
      </c>
      <c r="D960" s="28" t="str">
        <f>VLOOKUP(Table1[[#This Row],[Point of Origin]],Table2[#All],2,0)</f>
        <v>USA</v>
      </c>
      <c r="E960" s="28" t="str">
        <f>VLOOKUP(Table1[[#This Row],[Point of Origin]],Table2[#All],3,0)</f>
        <v>Domestic</v>
      </c>
      <c r="F960" s="36" t="s">
        <v>157</v>
      </c>
      <c r="G960" s="21" t="s">
        <v>127</v>
      </c>
      <c r="H960" s="22">
        <f>646</f>
        <v>646</v>
      </c>
      <c r="I960" s="22">
        <f>Table1[[#This Row],[Total Weight Imported (lbs)]]*0.453592</f>
        <v>293.02043199999997</v>
      </c>
      <c r="J960" s="23">
        <v>399.5</v>
      </c>
      <c r="K960" s="41"/>
    </row>
    <row r="961" spans="1:11" ht="15.75" customHeight="1">
      <c r="A961" s="28" t="s">
        <v>259</v>
      </c>
      <c r="B961" s="28" t="s">
        <v>28</v>
      </c>
      <c r="C961" s="28" t="s">
        <v>14</v>
      </c>
      <c r="D961" s="28" t="str">
        <f>VLOOKUP(Table1[[#This Row],[Point of Origin]],Table2[#All],2,0)</f>
        <v>USA</v>
      </c>
      <c r="E961" s="28" t="str">
        <f>VLOOKUP(Table1[[#This Row],[Point of Origin]],Table2[#All],3,0)</f>
        <v>Domestic</v>
      </c>
      <c r="F961" s="36" t="s">
        <v>158</v>
      </c>
      <c r="G961" s="21" t="s">
        <v>127</v>
      </c>
      <c r="H961" s="22">
        <v>325</v>
      </c>
      <c r="I961" s="22">
        <f>Table1[[#This Row],[Total Weight Imported (lbs)]]*0.453592</f>
        <v>147.41739999999999</v>
      </c>
      <c r="J961" s="23">
        <v>292.5</v>
      </c>
      <c r="K961" s="41"/>
    </row>
    <row r="962" spans="1:11" ht="15.75" customHeight="1">
      <c r="A962" s="28" t="s">
        <v>259</v>
      </c>
      <c r="B962" s="28" t="s">
        <v>28</v>
      </c>
      <c r="C962" s="28" t="s">
        <v>14</v>
      </c>
      <c r="D962" s="28" t="str">
        <f>VLOOKUP(Table1[[#This Row],[Point of Origin]],Table2[#All],2,0)</f>
        <v>USA</v>
      </c>
      <c r="E962" s="28" t="str">
        <f>VLOOKUP(Table1[[#This Row],[Point of Origin]],Table2[#All],3,0)</f>
        <v>Domestic</v>
      </c>
      <c r="F962" s="36" t="s">
        <v>161</v>
      </c>
      <c r="G962" s="21" t="s">
        <v>162</v>
      </c>
      <c r="H962" s="22">
        <v>300</v>
      </c>
      <c r="I962" s="22">
        <f>Table1[[#This Row],[Total Weight Imported (lbs)]]*0.453592</f>
        <v>136.07759999999999</v>
      </c>
      <c r="J962" s="23">
        <v>212.5</v>
      </c>
      <c r="K962" s="41"/>
    </row>
    <row r="963" spans="1:11" ht="15.75" customHeight="1">
      <c r="A963" s="28" t="s">
        <v>259</v>
      </c>
      <c r="B963" s="28" t="s">
        <v>28</v>
      </c>
      <c r="C963" s="28" t="s">
        <v>14</v>
      </c>
      <c r="D963" s="28" t="str">
        <f>VLOOKUP(Table1[[#This Row],[Point of Origin]],Table2[#All],2,0)</f>
        <v>USA</v>
      </c>
      <c r="E963" s="28" t="str">
        <f>VLOOKUP(Table1[[#This Row],[Point of Origin]],Table2[#All],3,0)</f>
        <v>Domestic</v>
      </c>
      <c r="F963" s="28" t="s">
        <v>36</v>
      </c>
      <c r="G963" s="21" t="s">
        <v>37</v>
      </c>
      <c r="H963" s="22">
        <f>483</f>
        <v>483</v>
      </c>
      <c r="I963" s="22">
        <f>Table1[[#This Row],[Total Weight Imported (lbs)]]*0.453592</f>
        <v>219.084936</v>
      </c>
      <c r="J963" s="23">
        <f>1449</f>
        <v>1449</v>
      </c>
      <c r="K963" s="1"/>
    </row>
    <row r="964" spans="1:11" ht="15.75" customHeight="1">
      <c r="A964" s="28" t="s">
        <v>259</v>
      </c>
      <c r="B964" s="28" t="s">
        <v>28</v>
      </c>
      <c r="C964" s="28" t="s">
        <v>14</v>
      </c>
      <c r="D964" s="28" t="str">
        <f>VLOOKUP(Table1[[#This Row],[Point of Origin]],Table2[#All],2,0)</f>
        <v>USA</v>
      </c>
      <c r="E964" s="28" t="str">
        <f>VLOOKUP(Table1[[#This Row],[Point of Origin]],Table2[#All],3,0)</f>
        <v>Domestic</v>
      </c>
      <c r="F964" s="36" t="s">
        <v>58</v>
      </c>
      <c r="G964" s="21" t="s">
        <v>34</v>
      </c>
      <c r="H964" s="22">
        <v>260</v>
      </c>
      <c r="I964" s="22">
        <f>Table1[[#This Row],[Total Weight Imported (lbs)]]*0.453592</f>
        <v>117.93392</v>
      </c>
      <c r="J964" s="23">
        <v>520</v>
      </c>
      <c r="K964" s="1"/>
    </row>
    <row r="965" spans="1:11" ht="15.75" customHeight="1">
      <c r="A965" s="28" t="s">
        <v>259</v>
      </c>
      <c r="B965" s="28" t="s">
        <v>28</v>
      </c>
      <c r="C965" s="28" t="s">
        <v>14</v>
      </c>
      <c r="D965" s="28" t="str">
        <f>VLOOKUP(Table1[[#This Row],[Point of Origin]],Table2[#All],2,0)</f>
        <v>USA</v>
      </c>
      <c r="E965" s="28" t="str">
        <f>VLOOKUP(Table1[[#This Row],[Point of Origin]],Table2[#All],3,0)</f>
        <v>Domestic</v>
      </c>
      <c r="F965" s="36" t="s">
        <v>58</v>
      </c>
      <c r="G965" s="21" t="s">
        <v>34</v>
      </c>
      <c r="H965" s="22">
        <v>23</v>
      </c>
      <c r="I965" s="22">
        <f>Table1[[#This Row],[Total Weight Imported (lbs)]]*0.453592</f>
        <v>10.432615999999999</v>
      </c>
      <c r="J965" s="23">
        <v>26</v>
      </c>
      <c r="K965" s="1"/>
    </row>
    <row r="966" spans="1:11" ht="15.75" customHeight="1">
      <c r="A966" s="28" t="s">
        <v>259</v>
      </c>
      <c r="B966" s="28" t="s">
        <v>28</v>
      </c>
      <c r="C966" s="28" t="s">
        <v>14</v>
      </c>
      <c r="D966" s="28" t="str">
        <f>VLOOKUP(Table1[[#This Row],[Point of Origin]],Table2[#All],2,0)</f>
        <v>USA</v>
      </c>
      <c r="E966" s="28" t="str">
        <f>VLOOKUP(Table1[[#This Row],[Point of Origin]],Table2[#All],3,0)</f>
        <v>Domestic</v>
      </c>
      <c r="F966" s="28" t="s">
        <v>76</v>
      </c>
      <c r="G966" s="21" t="s">
        <v>77</v>
      </c>
      <c r="H966" s="22">
        <v>75</v>
      </c>
      <c r="I966" s="22">
        <f>Table1[[#This Row],[Total Weight Imported (lbs)]]*0.453592</f>
        <v>34.019399999999997</v>
      </c>
      <c r="J966" s="23">
        <v>115.5</v>
      </c>
      <c r="K966" s="1"/>
    </row>
    <row r="967" spans="1:11" ht="15.75" customHeight="1">
      <c r="A967" s="28" t="s">
        <v>259</v>
      </c>
      <c r="B967" s="28" t="s">
        <v>28</v>
      </c>
      <c r="C967" s="28" t="s">
        <v>14</v>
      </c>
      <c r="D967" s="28" t="str">
        <f>VLOOKUP(Table1[[#This Row],[Point of Origin]],Table2[#All],2,0)</f>
        <v>USA</v>
      </c>
      <c r="E967" s="28" t="str">
        <f>VLOOKUP(Table1[[#This Row],[Point of Origin]],Table2[#All],3,0)</f>
        <v>Domestic</v>
      </c>
      <c r="F967" s="28" t="s">
        <v>76</v>
      </c>
      <c r="G967" s="21" t="s">
        <v>77</v>
      </c>
      <c r="H967" s="22">
        <v>75</v>
      </c>
      <c r="I967" s="22">
        <f>Table1[[#This Row],[Total Weight Imported (lbs)]]*0.453592</f>
        <v>34.019399999999997</v>
      </c>
      <c r="J967" s="23">
        <v>115.5</v>
      </c>
      <c r="K967" s="1"/>
    </row>
    <row r="968" spans="1:11" ht="15.75" customHeight="1">
      <c r="A968" s="28" t="s">
        <v>259</v>
      </c>
      <c r="B968" s="28" t="s">
        <v>28</v>
      </c>
      <c r="C968" s="28" t="s">
        <v>14</v>
      </c>
      <c r="D968" s="28" t="str">
        <f>VLOOKUP(Table1[[#This Row],[Point of Origin]],Table2[#All],2,0)</f>
        <v>USA</v>
      </c>
      <c r="E968" s="28" t="str">
        <f>VLOOKUP(Table1[[#This Row],[Point of Origin]],Table2[#All],3,0)</f>
        <v>Domestic</v>
      </c>
      <c r="F968" s="28" t="s">
        <v>76</v>
      </c>
      <c r="G968" s="21" t="s">
        <v>77</v>
      </c>
      <c r="H968" s="22">
        <v>75</v>
      </c>
      <c r="I968" s="22">
        <f>Table1[[#This Row],[Total Weight Imported (lbs)]]*0.453592</f>
        <v>34.019399999999997</v>
      </c>
      <c r="J968" s="23">
        <v>115.5</v>
      </c>
      <c r="K968" s="1"/>
    </row>
    <row r="969" spans="1:11" ht="15.75" customHeight="1">
      <c r="A969" s="28" t="s">
        <v>259</v>
      </c>
      <c r="B969" s="28" t="s">
        <v>28</v>
      </c>
      <c r="C969" s="28" t="s">
        <v>14</v>
      </c>
      <c r="D969" s="28" t="str">
        <f>VLOOKUP(Table1[[#This Row],[Point of Origin]],Table2[#All],2,0)</f>
        <v>USA</v>
      </c>
      <c r="E969" s="28" t="str">
        <f>VLOOKUP(Table1[[#This Row],[Point of Origin]],Table2[#All],3,0)</f>
        <v>Domestic</v>
      </c>
      <c r="F969" s="28" t="s">
        <v>43</v>
      </c>
      <c r="G969" s="21" t="s">
        <v>44</v>
      </c>
      <c r="H969" s="22">
        <v>80</v>
      </c>
      <c r="I969" s="22">
        <f>Table1[[#This Row],[Total Weight Imported (lbs)]]*0.453592</f>
        <v>36.28736</v>
      </c>
      <c r="J969" s="23">
        <v>108</v>
      </c>
      <c r="K969" s="41"/>
    </row>
    <row r="970" spans="1:11" ht="15.75" customHeight="1">
      <c r="A970" s="28" t="s">
        <v>259</v>
      </c>
      <c r="B970" s="28" t="s">
        <v>28</v>
      </c>
      <c r="C970" s="28" t="s">
        <v>14</v>
      </c>
      <c r="D970" s="28" t="str">
        <f>VLOOKUP(Table1[[#This Row],[Point of Origin]],Table2[#All],2,0)</f>
        <v>USA</v>
      </c>
      <c r="E970" s="28" t="str">
        <f>VLOOKUP(Table1[[#This Row],[Point of Origin]],Table2[#All],3,0)</f>
        <v>Domestic</v>
      </c>
      <c r="F970" s="36" t="s">
        <v>102</v>
      </c>
      <c r="G970" s="21" t="s">
        <v>32</v>
      </c>
      <c r="H970" s="22">
        <f>24</f>
        <v>24</v>
      </c>
      <c r="I970" s="22">
        <f>Table1[[#This Row],[Total Weight Imported (lbs)]]*0.453592</f>
        <v>10.886208</v>
      </c>
      <c r="J970" s="23">
        <f>22.5+22.5</f>
        <v>45</v>
      </c>
      <c r="K970" s="41"/>
    </row>
    <row r="971" spans="1:11" ht="15.75" customHeight="1">
      <c r="A971" s="28" t="s">
        <v>259</v>
      </c>
      <c r="B971" s="28" t="s">
        <v>28</v>
      </c>
      <c r="C971" s="28" t="s">
        <v>14</v>
      </c>
      <c r="D971" s="28" t="str">
        <f>VLOOKUP(Table1[[#This Row],[Point of Origin]],Table2[#All],2,0)</f>
        <v>USA</v>
      </c>
      <c r="E971" s="28" t="str">
        <f>VLOOKUP(Table1[[#This Row],[Point of Origin]],Table2[#All],3,0)</f>
        <v>Domestic</v>
      </c>
      <c r="F971" s="28" t="s">
        <v>81</v>
      </c>
      <c r="G971" s="21" t="s">
        <v>62</v>
      </c>
      <c r="H971" s="22">
        <f>275</f>
        <v>275</v>
      </c>
      <c r="I971" s="22">
        <f>Table1[[#This Row],[Total Weight Imported (lbs)]]*0.453592</f>
        <v>124.73779999999999</v>
      </c>
      <c r="J971" s="23">
        <f>368.5</f>
        <v>368.5</v>
      </c>
      <c r="K971" s="41"/>
    </row>
    <row r="972" spans="1:11" ht="15.75" customHeight="1">
      <c r="A972" s="28" t="s">
        <v>259</v>
      </c>
      <c r="B972" s="28" t="s">
        <v>28</v>
      </c>
      <c r="C972" s="28" t="s">
        <v>14</v>
      </c>
      <c r="D972" s="28" t="str">
        <f>VLOOKUP(Table1[[#This Row],[Point of Origin]],Table2[#All],2,0)</f>
        <v>USA</v>
      </c>
      <c r="E972" s="28" t="str">
        <f>VLOOKUP(Table1[[#This Row],[Point of Origin]],Table2[#All],3,0)</f>
        <v>Domestic</v>
      </c>
      <c r="F972" s="28" t="s">
        <v>141</v>
      </c>
      <c r="G972" s="21" t="s">
        <v>142</v>
      </c>
      <c r="H972" s="22">
        <v>900</v>
      </c>
      <c r="I972" s="22">
        <f>Table1[[#This Row],[Total Weight Imported (lbs)]]*0.453592</f>
        <v>408.2328</v>
      </c>
      <c r="J972" s="23">
        <f>240+108</f>
        <v>348</v>
      </c>
      <c r="K972" s="41"/>
    </row>
    <row r="973" spans="1:11" ht="15.75" customHeight="1">
      <c r="A973" s="28" t="s">
        <v>259</v>
      </c>
      <c r="B973" s="28" t="s">
        <v>28</v>
      </c>
      <c r="C973" s="28" t="s">
        <v>14</v>
      </c>
      <c r="D973" s="28" t="str">
        <f>VLOOKUP(Table1[[#This Row],[Point of Origin]],Table2[#All],2,0)</f>
        <v>USA</v>
      </c>
      <c r="E973" s="28" t="str">
        <f>VLOOKUP(Table1[[#This Row],[Point of Origin]],Table2[#All],3,0)</f>
        <v>Domestic</v>
      </c>
      <c r="F973" s="28" t="s">
        <v>54</v>
      </c>
      <c r="G973" s="21" t="s">
        <v>30</v>
      </c>
      <c r="H973" s="22">
        <v>100</v>
      </c>
      <c r="I973" s="22">
        <f>Table1[[#This Row],[Total Weight Imported (lbs)]]*0.453592</f>
        <v>45.359200000000001</v>
      </c>
      <c r="J973" s="23">
        <v>178</v>
      </c>
      <c r="K973" s="41"/>
    </row>
    <row r="974" spans="1:11" ht="15.75" customHeight="1">
      <c r="A974" s="28" t="s">
        <v>259</v>
      </c>
      <c r="B974" s="28" t="s">
        <v>28</v>
      </c>
      <c r="C974" s="28" t="s">
        <v>14</v>
      </c>
      <c r="D974" s="28" t="str">
        <f>VLOOKUP(Table1[[#This Row],[Point of Origin]],Table2[#All],2,0)</f>
        <v>USA</v>
      </c>
      <c r="E974" s="28" t="str">
        <f>VLOOKUP(Table1[[#This Row],[Point of Origin]],Table2[#All],3,0)</f>
        <v>Domestic</v>
      </c>
      <c r="F974" s="28" t="s">
        <v>63</v>
      </c>
      <c r="G974" s="21" t="s">
        <v>64</v>
      </c>
      <c r="H974" s="22">
        <v>72</v>
      </c>
      <c r="I974" s="22">
        <f>Table1[[#This Row],[Total Weight Imported (lbs)]]*0.453592</f>
        <v>32.658624000000003</v>
      </c>
      <c r="J974" s="23">
        <v>54</v>
      </c>
      <c r="K974" s="1"/>
    </row>
    <row r="975" spans="1:11" ht="15.75" customHeight="1">
      <c r="A975" s="28" t="s">
        <v>259</v>
      </c>
      <c r="B975" s="28" t="s">
        <v>28</v>
      </c>
      <c r="C975" s="28" t="s">
        <v>14</v>
      </c>
      <c r="D975" s="28" t="str">
        <f>VLOOKUP(Table1[[#This Row],[Point of Origin]],Table2[#All],2,0)</f>
        <v>USA</v>
      </c>
      <c r="E975" s="28" t="str">
        <f>VLOOKUP(Table1[[#This Row],[Point of Origin]],Table2[#All],3,0)</f>
        <v>Domestic</v>
      </c>
      <c r="F975" s="28" t="s">
        <v>38</v>
      </c>
      <c r="G975" s="21" t="s">
        <v>39</v>
      </c>
      <c r="H975" s="22">
        <f>730+15+150+360</f>
        <v>1255</v>
      </c>
      <c r="I975" s="22">
        <f>Table1[[#This Row],[Total Weight Imported (lbs)]]*0.453592</f>
        <v>569.25796000000003</v>
      </c>
      <c r="J975" s="23">
        <f>51+756+22.5+245+324</f>
        <v>1398.5</v>
      </c>
      <c r="K975" s="41"/>
    </row>
    <row r="976" spans="1:11" ht="15.75" customHeight="1">
      <c r="A976" s="27" t="s">
        <v>260</v>
      </c>
      <c r="B976" s="27" t="s">
        <v>28</v>
      </c>
      <c r="C976" s="27" t="s">
        <v>14</v>
      </c>
      <c r="D976" s="20" t="str">
        <f>VLOOKUP(Table1[[#This Row],[Point of Origin]],Table2[#All],2,0)</f>
        <v>USA</v>
      </c>
      <c r="E976" s="20" t="str">
        <f>VLOOKUP(Table1[[#This Row],[Point of Origin]],Table2[#All],3,0)</f>
        <v>Domestic</v>
      </c>
      <c r="F976" s="27" t="s">
        <v>183</v>
      </c>
      <c r="G976" s="21" t="s">
        <v>32</v>
      </c>
      <c r="H976" s="22">
        <v>60</v>
      </c>
      <c r="I976" s="22">
        <f>Table1[[#This Row],[Total Weight Imported (lbs)]]*0.453592</f>
        <v>27.215519999999998</v>
      </c>
      <c r="J976" s="23">
        <v>70.599999999999994</v>
      </c>
      <c r="K976" s="41"/>
    </row>
    <row r="977" spans="1:11" ht="15.75" customHeight="1">
      <c r="A977" s="27" t="s">
        <v>260</v>
      </c>
      <c r="B977" s="27" t="s">
        <v>28</v>
      </c>
      <c r="C977" s="27" t="s">
        <v>14</v>
      </c>
      <c r="D977" s="20" t="str">
        <f>VLOOKUP(Table1[[#This Row],[Point of Origin]],Table2[#All],2,0)</f>
        <v>USA</v>
      </c>
      <c r="E977" s="20" t="str">
        <f>VLOOKUP(Table1[[#This Row],[Point of Origin]],Table2[#All],3,0)</f>
        <v>Domestic</v>
      </c>
      <c r="F977" s="27" t="s">
        <v>96</v>
      </c>
      <c r="G977" s="21" t="s">
        <v>97</v>
      </c>
      <c r="H977" s="22">
        <v>750</v>
      </c>
      <c r="I977" s="22">
        <f>Table1[[#This Row],[Total Weight Imported (lbs)]]*0.453592</f>
        <v>340.19400000000002</v>
      </c>
      <c r="J977" s="23">
        <v>2896.25</v>
      </c>
      <c r="K977" s="1"/>
    </row>
    <row r="978" spans="1:11" ht="15.75" customHeight="1">
      <c r="A978" s="27" t="s">
        <v>260</v>
      </c>
      <c r="B978" s="27" t="s">
        <v>28</v>
      </c>
      <c r="C978" s="27" t="s">
        <v>14</v>
      </c>
      <c r="D978" s="20" t="str">
        <f>VLOOKUP(Table1[[#This Row],[Point of Origin]],Table2[#All],2,0)</f>
        <v>USA</v>
      </c>
      <c r="E978" s="20" t="str">
        <f>VLOOKUP(Table1[[#This Row],[Point of Origin]],Table2[#All],3,0)</f>
        <v>Domestic</v>
      </c>
      <c r="F978" s="27" t="s">
        <v>71</v>
      </c>
      <c r="G978" s="21" t="s">
        <v>72</v>
      </c>
      <c r="H978" s="22">
        <f>1350+360+2376+1620</f>
        <v>5706</v>
      </c>
      <c r="I978" s="22">
        <f>Table1[[#This Row],[Total Weight Imported (lbs)]]*0.453592</f>
        <v>2588.195952</v>
      </c>
      <c r="J978" s="23">
        <f>1350+4117.5</f>
        <v>5467.5</v>
      </c>
      <c r="K978" s="41"/>
    </row>
    <row r="979" spans="1:11" ht="15.75" customHeight="1">
      <c r="A979" s="27" t="s">
        <v>260</v>
      </c>
      <c r="B979" s="27" t="s">
        <v>28</v>
      </c>
      <c r="C979" s="27" t="s">
        <v>14</v>
      </c>
      <c r="D979" s="20" t="str">
        <f>VLOOKUP(Table1[[#This Row],[Point of Origin]],Table2[#All],2,0)</f>
        <v>USA</v>
      </c>
      <c r="E979" s="20" t="str">
        <f>VLOOKUP(Table1[[#This Row],[Point of Origin]],Table2[#All],3,0)</f>
        <v>Domestic</v>
      </c>
      <c r="F979" s="27" t="s">
        <v>71</v>
      </c>
      <c r="G979" s="21" t="s">
        <v>72</v>
      </c>
      <c r="H979" s="22">
        <f>2592+1620</f>
        <v>4212</v>
      </c>
      <c r="I979" s="22">
        <f>Table1[[#This Row],[Total Weight Imported (lbs)]]*0.453592</f>
        <v>1910.5295040000001</v>
      </c>
      <c r="J979" s="23">
        <f>7182.72+4117.5</f>
        <v>11300.220000000001</v>
      </c>
      <c r="K979" s="41"/>
    </row>
    <row r="980" spans="1:11" ht="15.75" customHeight="1">
      <c r="A980" s="27" t="s">
        <v>260</v>
      </c>
      <c r="B980" s="27" t="s">
        <v>28</v>
      </c>
      <c r="C980" s="27" t="s">
        <v>14</v>
      </c>
      <c r="D980" s="20" t="str">
        <f>VLOOKUP(Table1[[#This Row],[Point of Origin]],Table2[#All],2,0)</f>
        <v>USA</v>
      </c>
      <c r="E980" s="20" t="str">
        <f>VLOOKUP(Table1[[#This Row],[Point of Origin]],Table2[#All],3,0)</f>
        <v>Domestic</v>
      </c>
      <c r="F980" s="20" t="s">
        <v>143</v>
      </c>
      <c r="G980" s="21" t="s">
        <v>144</v>
      </c>
      <c r="H980" s="22">
        <v>900</v>
      </c>
      <c r="I980" s="22">
        <f>Table1[[#This Row],[Total Weight Imported (lbs)]]*0.453592</f>
        <v>408.2328</v>
      </c>
      <c r="J980" s="23">
        <v>900</v>
      </c>
      <c r="K980" s="41"/>
    </row>
    <row r="981" spans="1:11" ht="15.75" customHeight="1">
      <c r="A981" s="27" t="s">
        <v>260</v>
      </c>
      <c r="B981" s="27" t="s">
        <v>28</v>
      </c>
      <c r="C981" s="27" t="s">
        <v>14</v>
      </c>
      <c r="D981" s="20" t="str">
        <f>VLOOKUP(Table1[[#This Row],[Point of Origin]],Table2[#All],2,0)</f>
        <v>USA</v>
      </c>
      <c r="E981" s="20" t="str">
        <f>VLOOKUP(Table1[[#This Row],[Point of Origin]],Table2[#All],3,0)</f>
        <v>Domestic</v>
      </c>
      <c r="F981" s="27" t="s">
        <v>139</v>
      </c>
      <c r="G981" s="21" t="s">
        <v>140</v>
      </c>
      <c r="H981" s="22">
        <v>660</v>
      </c>
      <c r="I981" s="22">
        <f>Table1[[#This Row],[Total Weight Imported (lbs)]]*0.453592</f>
        <v>299.37072000000001</v>
      </c>
      <c r="J981" s="23">
        <v>1650</v>
      </c>
      <c r="K981" s="41"/>
    </row>
    <row r="982" spans="1:11" ht="15.75" customHeight="1">
      <c r="A982" s="27" t="s">
        <v>260</v>
      </c>
      <c r="B982" s="27" t="s">
        <v>28</v>
      </c>
      <c r="C982" s="27" t="s">
        <v>14</v>
      </c>
      <c r="D982" s="20" t="str">
        <f>VLOOKUP(Table1[[#This Row],[Point of Origin]],Table2[#All],2,0)</f>
        <v>USA</v>
      </c>
      <c r="E982" s="20" t="str">
        <f>VLOOKUP(Table1[[#This Row],[Point of Origin]],Table2[#All],3,0)</f>
        <v>Domestic</v>
      </c>
      <c r="F982" s="20" t="s">
        <v>59</v>
      </c>
      <c r="G982" s="21" t="s">
        <v>60</v>
      </c>
      <c r="H982" s="22">
        <f>782+731+2805</f>
        <v>4318</v>
      </c>
      <c r="I982" s="22">
        <f>Table1[[#This Row],[Total Weight Imported (lbs)]]*0.453592</f>
        <v>1958.6102559999999</v>
      </c>
      <c r="J982" s="23">
        <f>1115.04+817+3508.8</f>
        <v>5440.84</v>
      </c>
      <c r="K982" s="41"/>
    </row>
    <row r="983" spans="1:11" ht="15.75" customHeight="1">
      <c r="A983" s="27" t="s">
        <v>260</v>
      </c>
      <c r="B983" s="27" t="s">
        <v>28</v>
      </c>
      <c r="C983" s="27" t="s">
        <v>14</v>
      </c>
      <c r="D983" s="20" t="str">
        <f>VLOOKUP(Table1[[#This Row],[Point of Origin]],Table2[#All],2,0)</f>
        <v>USA</v>
      </c>
      <c r="E983" s="20" t="str">
        <f>VLOOKUP(Table1[[#This Row],[Point of Origin]],Table2[#All],3,0)</f>
        <v>Domestic</v>
      </c>
      <c r="F983" s="20" t="s">
        <v>130</v>
      </c>
      <c r="G983" s="21" t="s">
        <v>131</v>
      </c>
      <c r="H983" s="22">
        <v>5400</v>
      </c>
      <c r="I983" s="22">
        <f>Table1[[#This Row],[Total Weight Imported (lbs)]]*0.453592</f>
        <v>2449.3968</v>
      </c>
      <c r="J983" s="23">
        <v>9073.7999999999993</v>
      </c>
      <c r="K983" s="1"/>
    </row>
    <row r="984" spans="1:11" ht="15.75" customHeight="1">
      <c r="A984" s="27" t="s">
        <v>260</v>
      </c>
      <c r="B984" s="27" t="s">
        <v>28</v>
      </c>
      <c r="C984" s="27" t="s">
        <v>14</v>
      </c>
      <c r="D984" s="20" t="str">
        <f>VLOOKUP(Table1[[#This Row],[Point of Origin]],Table2[#All],2,0)</f>
        <v>USA</v>
      </c>
      <c r="E984" s="20" t="str">
        <f>VLOOKUP(Table1[[#This Row],[Point of Origin]],Table2[#All],3,0)</f>
        <v>Domestic</v>
      </c>
      <c r="F984" s="20" t="s">
        <v>43</v>
      </c>
      <c r="G984" s="21" t="s">
        <v>44</v>
      </c>
      <c r="H984" s="22">
        <f>2400+360+1440</f>
        <v>4200</v>
      </c>
      <c r="I984" s="22">
        <f>Table1[[#This Row],[Total Weight Imported (lbs)]]*0.453592</f>
        <v>1905.0863999999999</v>
      </c>
      <c r="J984" s="23">
        <f>2085.6+400.59+1658.52</f>
        <v>4144.71</v>
      </c>
      <c r="K984" s="41"/>
    </row>
    <row r="985" spans="1:11" ht="15.75" customHeight="1">
      <c r="A985" s="27" t="s">
        <v>260</v>
      </c>
      <c r="B985" s="27" t="s">
        <v>28</v>
      </c>
      <c r="C985" s="27" t="s">
        <v>14</v>
      </c>
      <c r="D985" s="20" t="str">
        <f>VLOOKUP(Table1[[#This Row],[Point of Origin]],Table2[#All],2,0)</f>
        <v>USA</v>
      </c>
      <c r="E985" s="20" t="str">
        <f>VLOOKUP(Table1[[#This Row],[Point of Origin]],Table2[#All],3,0)</f>
        <v>Domestic</v>
      </c>
      <c r="F985" s="20" t="s">
        <v>154</v>
      </c>
      <c r="G985" s="21" t="s">
        <v>155</v>
      </c>
      <c r="H985" s="22">
        <f>600</f>
        <v>600</v>
      </c>
      <c r="I985" s="22">
        <f>Table1[[#This Row],[Total Weight Imported (lbs)]]*0.453592</f>
        <v>272.15519999999998</v>
      </c>
      <c r="J985" s="23">
        <f>968.75</f>
        <v>968.75</v>
      </c>
      <c r="K985" s="1"/>
    </row>
    <row r="986" spans="1:11" ht="15.75" customHeight="1">
      <c r="A986" s="27" t="s">
        <v>260</v>
      </c>
      <c r="B986" s="27" t="s">
        <v>28</v>
      </c>
      <c r="C986" s="27" t="s">
        <v>14</v>
      </c>
      <c r="D986" s="20" t="str">
        <f>VLOOKUP(Table1[[#This Row],[Point of Origin]],Table2[#All],2,0)</f>
        <v>USA</v>
      </c>
      <c r="E986" s="20" t="str">
        <f>VLOOKUP(Table1[[#This Row],[Point of Origin]],Table2[#All],3,0)</f>
        <v>Domestic</v>
      </c>
      <c r="F986" s="27" t="s">
        <v>173</v>
      </c>
      <c r="G986" s="21" t="s">
        <v>174</v>
      </c>
      <c r="H986" s="22">
        <v>648</v>
      </c>
      <c r="I986" s="22">
        <f>Table1[[#This Row],[Total Weight Imported (lbs)]]*0.453592</f>
        <v>293.927616</v>
      </c>
      <c r="J986" s="23">
        <f>1141.44</f>
        <v>1141.44</v>
      </c>
      <c r="K986" s="1"/>
    </row>
    <row r="987" spans="1:11" ht="15.75" customHeight="1">
      <c r="A987" s="27" t="s">
        <v>260</v>
      </c>
      <c r="B987" s="27" t="s">
        <v>28</v>
      </c>
      <c r="C987" s="27" t="s">
        <v>14</v>
      </c>
      <c r="D987" s="20" t="str">
        <f>VLOOKUP(Table1[[#This Row],[Point of Origin]],Table2[#All],2,0)</f>
        <v>USA</v>
      </c>
      <c r="E987" s="20" t="str">
        <f>VLOOKUP(Table1[[#This Row],[Point of Origin]],Table2[#All],3,0)</f>
        <v>Domestic</v>
      </c>
      <c r="F987" s="20" t="s">
        <v>63</v>
      </c>
      <c r="G987" s="21" t="s">
        <v>64</v>
      </c>
      <c r="H987" s="22">
        <f>810</f>
        <v>810</v>
      </c>
      <c r="I987" s="22">
        <f>Table1[[#This Row],[Total Weight Imported (lbs)]]*0.453592</f>
        <v>367.40951999999999</v>
      </c>
      <c r="J987" s="23">
        <f>592.65</f>
        <v>592.65</v>
      </c>
      <c r="K987" s="1"/>
    </row>
    <row r="988" spans="1:11" ht="15.75" customHeight="1">
      <c r="A988" s="27" t="s">
        <v>260</v>
      </c>
      <c r="B988" s="27" t="s">
        <v>28</v>
      </c>
      <c r="C988" s="27" t="s">
        <v>14</v>
      </c>
      <c r="D988" s="20" t="str">
        <f>VLOOKUP(Table1[[#This Row],[Point of Origin]],Table2[#All],2,0)</f>
        <v>USA</v>
      </c>
      <c r="E988" s="20" t="str">
        <f>VLOOKUP(Table1[[#This Row],[Point of Origin]],Table2[#All],3,0)</f>
        <v>Domestic</v>
      </c>
      <c r="F988" s="20" t="s">
        <v>128</v>
      </c>
      <c r="G988" s="21" t="s">
        <v>129</v>
      </c>
      <c r="H988" s="22">
        <f>520+1200</f>
        <v>1720</v>
      </c>
      <c r="I988" s="22">
        <f>Table1[[#This Row],[Total Weight Imported (lbs)]]*0.453592</f>
        <v>780.17823999999996</v>
      </c>
      <c r="J988" s="23">
        <f>396.37+914.7</f>
        <v>1311.0700000000002</v>
      </c>
      <c r="K988" s="41"/>
    </row>
    <row r="989" spans="1:11" ht="15.75" customHeight="1">
      <c r="A989" s="28" t="s">
        <v>261</v>
      </c>
      <c r="B989" s="28" t="s">
        <v>28</v>
      </c>
      <c r="C989" s="28" t="s">
        <v>14</v>
      </c>
      <c r="D989" s="28" t="str">
        <f>VLOOKUP(Table1[[#This Row],[Point of Origin]],Table2[#All],2,0)</f>
        <v>USA</v>
      </c>
      <c r="E989" s="28" t="str">
        <f>VLOOKUP(Table1[[#This Row],[Point of Origin]],Table2[#All],3,0)</f>
        <v>Domestic</v>
      </c>
      <c r="F989" s="28" t="s">
        <v>121</v>
      </c>
      <c r="G989" s="21" t="s">
        <v>122</v>
      </c>
      <c r="H989" s="22">
        <v>200</v>
      </c>
      <c r="I989" s="22">
        <f>Table1[[#This Row],[Total Weight Imported (lbs)]]*0.453592</f>
        <v>90.718400000000003</v>
      </c>
      <c r="J989" s="23">
        <v>140</v>
      </c>
      <c r="K989" s="1"/>
    </row>
    <row r="990" spans="1:11" ht="15.75" customHeight="1">
      <c r="A990" s="28" t="s">
        <v>261</v>
      </c>
      <c r="B990" s="28" t="s">
        <v>28</v>
      </c>
      <c r="C990" s="28" t="s">
        <v>14</v>
      </c>
      <c r="D990" s="28" t="str">
        <f>VLOOKUP(Table1[[#This Row],[Point of Origin]],Table2[#All],2,0)</f>
        <v>USA</v>
      </c>
      <c r="E990" s="28" t="str">
        <f>VLOOKUP(Table1[[#This Row],[Point of Origin]],Table2[#All],3,0)</f>
        <v>Domestic</v>
      </c>
      <c r="F990" s="28" t="s">
        <v>15</v>
      </c>
      <c r="G990" s="21" t="s">
        <v>16</v>
      </c>
      <c r="H990" s="22">
        <v>220</v>
      </c>
      <c r="I990" s="22">
        <f>Table1[[#This Row],[Total Weight Imported (lbs)]]*0.453592</f>
        <v>99.790239999999997</v>
      </c>
      <c r="J990" s="23">
        <v>690</v>
      </c>
      <c r="K990" s="41"/>
    </row>
    <row r="991" spans="1:11" ht="15.75" customHeight="1">
      <c r="A991" s="28" t="s">
        <v>261</v>
      </c>
      <c r="B991" s="28" t="s">
        <v>28</v>
      </c>
      <c r="C991" s="28" t="s">
        <v>14</v>
      </c>
      <c r="D991" s="28" t="str">
        <f>VLOOKUP(Table1[[#This Row],[Point of Origin]],Table2[#All],2,0)</f>
        <v>USA</v>
      </c>
      <c r="E991" s="28" t="str">
        <f>VLOOKUP(Table1[[#This Row],[Point of Origin]],Table2[#All],3,0)</f>
        <v>Domestic</v>
      </c>
      <c r="F991" s="28" t="s">
        <v>67</v>
      </c>
      <c r="G991" s="21" t="s">
        <v>68</v>
      </c>
      <c r="H991" s="22">
        <v>135</v>
      </c>
      <c r="I991" s="22">
        <f>Table1[[#This Row],[Total Weight Imported (lbs)]]*0.453592</f>
        <v>61.234920000000002</v>
      </c>
      <c r="J991" s="23">
        <v>260</v>
      </c>
      <c r="K991" s="41"/>
    </row>
    <row r="992" spans="1:11" ht="15.75" customHeight="1">
      <c r="A992" s="28" t="s">
        <v>261</v>
      </c>
      <c r="B992" s="28" t="s">
        <v>28</v>
      </c>
      <c r="C992" s="28" t="s">
        <v>14</v>
      </c>
      <c r="D992" s="28" t="str">
        <f>VLOOKUP(Table1[[#This Row],[Point of Origin]],Table2[#All],2,0)</f>
        <v>USA</v>
      </c>
      <c r="E992" s="28" t="str">
        <f>VLOOKUP(Table1[[#This Row],[Point of Origin]],Table2[#All],3,0)</f>
        <v>Domestic</v>
      </c>
      <c r="F992" s="28" t="s">
        <v>19</v>
      </c>
      <c r="G992" s="21" t="s">
        <v>20</v>
      </c>
      <c r="H992" s="22">
        <v>1008</v>
      </c>
      <c r="I992" s="22">
        <f>Table1[[#This Row],[Total Weight Imported (lbs)]]*0.453592</f>
        <v>457.22073599999999</v>
      </c>
      <c r="J992" s="23">
        <v>2030</v>
      </c>
      <c r="K992" s="41"/>
    </row>
    <row r="993" spans="1:11" ht="15.75" customHeight="1">
      <c r="A993" s="28" t="s">
        <v>261</v>
      </c>
      <c r="B993" s="28" t="s">
        <v>28</v>
      </c>
      <c r="C993" s="28" t="s">
        <v>14</v>
      </c>
      <c r="D993" s="28" t="str">
        <f>VLOOKUP(Table1[[#This Row],[Point of Origin]],Table2[#All],2,0)</f>
        <v>USA</v>
      </c>
      <c r="E993" s="28" t="str">
        <f>VLOOKUP(Table1[[#This Row],[Point of Origin]],Table2[#All],3,0)</f>
        <v>Domestic</v>
      </c>
      <c r="F993" s="28" t="s">
        <v>82</v>
      </c>
      <c r="G993" s="21" t="s">
        <v>20</v>
      </c>
      <c r="H993" s="22">
        <f>1204+1250+3575</f>
        <v>6029</v>
      </c>
      <c r="I993" s="22">
        <f>Table1[[#This Row],[Total Weight Imported (lbs)]]*0.453592</f>
        <v>2734.7061680000002</v>
      </c>
      <c r="J993" s="23">
        <f>1182.5+687.5+1917.5</f>
        <v>3787.5</v>
      </c>
      <c r="K993" s="41"/>
    </row>
    <row r="994" spans="1:11" ht="15.75" customHeight="1">
      <c r="A994" s="28" t="s">
        <v>261</v>
      </c>
      <c r="B994" s="28" t="s">
        <v>28</v>
      </c>
      <c r="C994" s="28" t="s">
        <v>14</v>
      </c>
      <c r="D994" s="28" t="str">
        <f>VLOOKUP(Table1[[#This Row],[Point of Origin]],Table2[#All],2,0)</f>
        <v>USA</v>
      </c>
      <c r="E994" s="28" t="str">
        <f>VLOOKUP(Table1[[#This Row],[Point of Origin]],Table2[#All],3,0)</f>
        <v>Domestic</v>
      </c>
      <c r="F994" s="28" t="s">
        <v>82</v>
      </c>
      <c r="G994" s="21" t="s">
        <v>20</v>
      </c>
      <c r="H994" s="22">
        <f>250</f>
        <v>250</v>
      </c>
      <c r="I994" s="22">
        <f>Table1[[#This Row],[Total Weight Imported (lbs)]]*0.453592</f>
        <v>113.398</v>
      </c>
      <c r="J994" s="23">
        <f>142.5</f>
        <v>142.5</v>
      </c>
      <c r="K994" s="41"/>
    </row>
    <row r="995" spans="1:11" ht="15.75" customHeight="1">
      <c r="A995" s="28" t="s">
        <v>261</v>
      </c>
      <c r="B995" s="28" t="s">
        <v>28</v>
      </c>
      <c r="C995" s="28" t="s">
        <v>14</v>
      </c>
      <c r="D995" s="28" t="str">
        <f>VLOOKUP(Table1[[#This Row],[Point of Origin]],Table2[#All],2,0)</f>
        <v>USA</v>
      </c>
      <c r="E995" s="28" t="str">
        <f>VLOOKUP(Table1[[#This Row],[Point of Origin]],Table2[#All],3,0)</f>
        <v>Domestic</v>
      </c>
      <c r="F995" s="28" t="s">
        <v>40</v>
      </c>
      <c r="G995" s="21" t="s">
        <v>41</v>
      </c>
      <c r="H995" s="22">
        <f>750</f>
        <v>750</v>
      </c>
      <c r="I995" s="22">
        <f>Table1[[#This Row],[Total Weight Imported (lbs)]]*0.453592</f>
        <v>340.19400000000002</v>
      </c>
      <c r="J995" s="23">
        <f>495</f>
        <v>495</v>
      </c>
      <c r="K995" s="41"/>
    </row>
    <row r="996" spans="1:11" ht="15.75" customHeight="1">
      <c r="A996" s="28" t="s">
        <v>261</v>
      </c>
      <c r="B996" s="28" t="s">
        <v>28</v>
      </c>
      <c r="C996" s="28" t="s">
        <v>14</v>
      </c>
      <c r="D996" s="28" t="str">
        <f>VLOOKUP(Table1[[#This Row],[Point of Origin]],Table2[#All],2,0)</f>
        <v>USA</v>
      </c>
      <c r="E996" s="28" t="str">
        <f>VLOOKUP(Table1[[#This Row],[Point of Origin]],Table2[#All],3,0)</f>
        <v>Domestic</v>
      </c>
      <c r="F996" s="28" t="s">
        <v>19</v>
      </c>
      <c r="G996" s="21" t="s">
        <v>20</v>
      </c>
      <c r="H996" s="22">
        <f>345</f>
        <v>345</v>
      </c>
      <c r="I996" s="22">
        <f>Table1[[#This Row],[Total Weight Imported (lbs)]]*0.453592</f>
        <v>156.48924</v>
      </c>
      <c r="J996" s="23">
        <f>502.5</f>
        <v>502.5</v>
      </c>
      <c r="K996" s="41"/>
    </row>
    <row r="997" spans="1:11" ht="15.75" customHeight="1">
      <c r="A997" s="28" t="s">
        <v>261</v>
      </c>
      <c r="B997" s="28" t="s">
        <v>28</v>
      </c>
      <c r="C997" s="28" t="s">
        <v>14</v>
      </c>
      <c r="D997" s="28" t="str">
        <f>VLOOKUP(Table1[[#This Row],[Point of Origin]],Table2[#All],2,0)</f>
        <v>USA</v>
      </c>
      <c r="E997" s="28" t="str">
        <f>VLOOKUP(Table1[[#This Row],[Point of Origin]],Table2[#All],3,0)</f>
        <v>Domestic</v>
      </c>
      <c r="F997" s="36" t="s">
        <v>56</v>
      </c>
      <c r="G997" s="21" t="s">
        <v>57</v>
      </c>
      <c r="H997" s="22">
        <f>780</f>
        <v>780</v>
      </c>
      <c r="I997" s="22">
        <f>Table1[[#This Row],[Total Weight Imported (lbs)]]*0.453592</f>
        <v>353.80176</v>
      </c>
      <c r="J997" s="23">
        <f>352.5</f>
        <v>352.5</v>
      </c>
      <c r="K997" s="41"/>
    </row>
    <row r="998" spans="1:11" ht="15.75" customHeight="1">
      <c r="A998" s="28" t="s">
        <v>261</v>
      </c>
      <c r="B998" s="28" t="s">
        <v>28</v>
      </c>
      <c r="C998" s="28" t="s">
        <v>14</v>
      </c>
      <c r="D998" s="28" t="str">
        <f>VLOOKUP(Table1[[#This Row],[Point of Origin]],Table2[#All],2,0)</f>
        <v>USA</v>
      </c>
      <c r="E998" s="28" t="str">
        <f>VLOOKUP(Table1[[#This Row],[Point of Origin]],Table2[#All],3,0)</f>
        <v>Domestic</v>
      </c>
      <c r="F998" s="36" t="s">
        <v>96</v>
      </c>
      <c r="G998" s="21" t="s">
        <v>97</v>
      </c>
      <c r="H998" s="22">
        <f>40</f>
        <v>40</v>
      </c>
      <c r="I998" s="22">
        <f>Table1[[#This Row],[Total Weight Imported (lbs)]]*0.453592</f>
        <v>18.14368</v>
      </c>
      <c r="J998" s="23">
        <f>200</f>
        <v>200</v>
      </c>
      <c r="K998" s="1"/>
    </row>
    <row r="999" spans="1:11" ht="15.75" customHeight="1">
      <c r="A999" s="28" t="s">
        <v>261</v>
      </c>
      <c r="B999" s="28" t="s">
        <v>28</v>
      </c>
      <c r="C999" s="28" t="s">
        <v>14</v>
      </c>
      <c r="D999" s="28" t="str">
        <f>VLOOKUP(Table1[[#This Row],[Point of Origin]],Table2[#All],2,0)</f>
        <v>USA</v>
      </c>
      <c r="E999" s="28" t="str">
        <f>VLOOKUP(Table1[[#This Row],[Point of Origin]],Table2[#All],3,0)</f>
        <v>Domestic</v>
      </c>
      <c r="F999" s="36" t="s">
        <v>163</v>
      </c>
      <c r="G999" s="21" t="s">
        <v>164</v>
      </c>
      <c r="H999" s="22">
        <f>450</f>
        <v>450</v>
      </c>
      <c r="I999" s="22">
        <f>Table1[[#This Row],[Total Weight Imported (lbs)]]*0.453592</f>
        <v>204.1164</v>
      </c>
      <c r="J999" s="23">
        <f>746.25</f>
        <v>746.25</v>
      </c>
      <c r="K999" s="41"/>
    </row>
    <row r="1000" spans="1:11" ht="15.75" customHeight="1">
      <c r="A1000" s="28" t="s">
        <v>261</v>
      </c>
      <c r="B1000" s="28" t="s">
        <v>28</v>
      </c>
      <c r="C1000" s="28" t="s">
        <v>14</v>
      </c>
      <c r="D1000" s="28" t="str">
        <f>VLOOKUP(Table1[[#This Row],[Point of Origin]],Table2[#All],2,0)</f>
        <v>USA</v>
      </c>
      <c r="E1000" s="28" t="str">
        <f>VLOOKUP(Table1[[#This Row],[Point of Origin]],Table2[#All],3,0)</f>
        <v>Domestic</v>
      </c>
      <c r="F1000" s="36" t="s">
        <v>71</v>
      </c>
      <c r="G1000" s="21" t="s">
        <v>72</v>
      </c>
      <c r="H1000" s="22">
        <f>54+270</f>
        <v>324</v>
      </c>
      <c r="I1000" s="22">
        <f>Table1[[#This Row],[Total Weight Imported (lbs)]]*0.453592</f>
        <v>146.963808</v>
      </c>
      <c r="J1000" s="23">
        <f>130.5+615</f>
        <v>745.5</v>
      </c>
      <c r="K1000" s="41"/>
    </row>
    <row r="1001" spans="1:11" ht="15.75" customHeight="1">
      <c r="A1001" s="28" t="s">
        <v>261</v>
      </c>
      <c r="B1001" s="28" t="s">
        <v>28</v>
      </c>
      <c r="C1001" s="28" t="s">
        <v>14</v>
      </c>
      <c r="D1001" s="28" t="str">
        <f>VLOOKUP(Table1[[#This Row],[Point of Origin]],Table2[#All],2,0)</f>
        <v>USA</v>
      </c>
      <c r="E1001" s="28" t="str">
        <f>VLOOKUP(Table1[[#This Row],[Point of Origin]],Table2[#All],3,0)</f>
        <v>Domestic</v>
      </c>
      <c r="F1001" s="36" t="s">
        <v>139</v>
      </c>
      <c r="G1001" s="21" t="s">
        <v>140</v>
      </c>
      <c r="H1001" s="22">
        <f>180</f>
        <v>180</v>
      </c>
      <c r="I1001" s="22">
        <f>Table1[[#This Row],[Total Weight Imported (lbs)]]*0.453592</f>
        <v>81.646559999999994</v>
      </c>
      <c r="J1001" s="23">
        <f>562.5</f>
        <v>562.5</v>
      </c>
      <c r="K1001" s="41"/>
    </row>
    <row r="1002" spans="1:11" ht="15.75" customHeight="1">
      <c r="A1002" s="28" t="s">
        <v>261</v>
      </c>
      <c r="B1002" s="28" t="s">
        <v>28</v>
      </c>
      <c r="C1002" s="28" t="s">
        <v>14</v>
      </c>
      <c r="D1002" s="28" t="str">
        <f>VLOOKUP(Table1[[#This Row],[Point of Origin]],Table2[#All],2,0)</f>
        <v>USA</v>
      </c>
      <c r="E1002" s="28" t="str">
        <f>VLOOKUP(Table1[[#This Row],[Point of Origin]],Table2[#All],3,0)</f>
        <v>Domestic</v>
      </c>
      <c r="F1002" s="36" t="s">
        <v>137</v>
      </c>
      <c r="G1002" s="21" t="s">
        <v>138</v>
      </c>
      <c r="H1002" s="22">
        <f>1080</f>
        <v>1080</v>
      </c>
      <c r="I1002" s="22">
        <f>Table1[[#This Row],[Total Weight Imported (lbs)]]*0.453592</f>
        <v>489.87936000000002</v>
      </c>
      <c r="J1002" s="23">
        <f>985.5</f>
        <v>985.5</v>
      </c>
      <c r="K1002" s="1"/>
    </row>
    <row r="1003" spans="1:11" ht="15.75" customHeight="1">
      <c r="A1003" s="28" t="s">
        <v>261</v>
      </c>
      <c r="B1003" s="28" t="s">
        <v>28</v>
      </c>
      <c r="C1003" s="28" t="s">
        <v>14</v>
      </c>
      <c r="D1003" s="28" t="str">
        <f>VLOOKUP(Table1[[#This Row],[Point of Origin]],Table2[#All],2,0)</f>
        <v>USA</v>
      </c>
      <c r="E1003" s="28" t="str">
        <f>VLOOKUP(Table1[[#This Row],[Point of Origin]],Table2[#All],3,0)</f>
        <v>Domestic</v>
      </c>
      <c r="F1003" s="28" t="s">
        <v>59</v>
      </c>
      <c r="G1003" s="21" t="s">
        <v>60</v>
      </c>
      <c r="H1003" s="22">
        <f>238+2090+250+1320+119</f>
        <v>4017</v>
      </c>
      <c r="I1003" s="22">
        <f>Table1[[#This Row],[Total Weight Imported (lbs)]]*0.453592</f>
        <v>1822.079064</v>
      </c>
      <c r="J1003" s="23">
        <f>343+1801.25+300+1070+155.75</f>
        <v>3670</v>
      </c>
      <c r="K1003" s="41"/>
    </row>
    <row r="1004" spans="1:11" ht="15.75" customHeight="1">
      <c r="A1004" s="28" t="s">
        <v>261</v>
      </c>
      <c r="B1004" s="28" t="s">
        <v>28</v>
      </c>
      <c r="C1004" s="28" t="s">
        <v>14</v>
      </c>
      <c r="D1004" s="28" t="str">
        <f>VLOOKUP(Table1[[#This Row],[Point of Origin]],Table2[#All],2,0)</f>
        <v>USA</v>
      </c>
      <c r="E1004" s="28" t="str">
        <f>VLOOKUP(Table1[[#This Row],[Point of Origin]],Table2[#All],3,0)</f>
        <v>Domestic</v>
      </c>
      <c r="F1004" s="28" t="s">
        <v>48</v>
      </c>
      <c r="G1004" s="21" t="s">
        <v>49</v>
      </c>
      <c r="H1004" s="22">
        <f>160</f>
        <v>160</v>
      </c>
      <c r="I1004" s="22">
        <f>Table1[[#This Row],[Total Weight Imported (lbs)]]*0.453592</f>
        <v>72.574719999999999</v>
      </c>
      <c r="J1004" s="23">
        <f>440</f>
        <v>440</v>
      </c>
      <c r="K1004" s="41"/>
    </row>
    <row r="1005" spans="1:11" ht="15.75" customHeight="1">
      <c r="A1005" s="28" t="s">
        <v>261</v>
      </c>
      <c r="B1005" s="28" t="s">
        <v>28</v>
      </c>
      <c r="C1005" s="28" t="s">
        <v>14</v>
      </c>
      <c r="D1005" s="28" t="str">
        <f>VLOOKUP(Table1[[#This Row],[Point of Origin]],Table2[#All],2,0)</f>
        <v>USA</v>
      </c>
      <c r="E1005" s="28" t="str">
        <f>VLOOKUP(Table1[[#This Row],[Point of Origin]],Table2[#All],3,0)</f>
        <v>Domestic</v>
      </c>
      <c r="F1005" s="36" t="s">
        <v>157</v>
      </c>
      <c r="G1005" s="21" t="s">
        <v>127</v>
      </c>
      <c r="H1005" s="22">
        <f>1520</f>
        <v>1520</v>
      </c>
      <c r="I1005" s="22">
        <f>Table1[[#This Row],[Total Weight Imported (lbs)]]*0.453592</f>
        <v>689.45983999999999</v>
      </c>
      <c r="J1005" s="23">
        <f>800</f>
        <v>800</v>
      </c>
      <c r="K1005" s="41"/>
    </row>
    <row r="1006" spans="1:11" ht="15.75" customHeight="1">
      <c r="A1006" s="28" t="s">
        <v>261</v>
      </c>
      <c r="B1006" s="28" t="s">
        <v>28</v>
      </c>
      <c r="C1006" s="28" t="s">
        <v>14</v>
      </c>
      <c r="D1006" s="28" t="str">
        <f>VLOOKUP(Table1[[#This Row],[Point of Origin]],Table2[#All],2,0)</f>
        <v>USA</v>
      </c>
      <c r="E1006" s="28" t="str">
        <f>VLOOKUP(Table1[[#This Row],[Point of Origin]],Table2[#All],3,0)</f>
        <v>Domestic</v>
      </c>
      <c r="F1006" s="36" t="s">
        <v>158</v>
      </c>
      <c r="G1006" s="21" t="s">
        <v>127</v>
      </c>
      <c r="H1006" s="22">
        <f>4000</f>
        <v>4000</v>
      </c>
      <c r="I1006" s="22">
        <f>Table1[[#This Row],[Total Weight Imported (lbs)]]*0.453592</f>
        <v>1814.3679999999999</v>
      </c>
      <c r="J1006" s="23">
        <f>2560</f>
        <v>2560</v>
      </c>
      <c r="K1006" s="41"/>
    </row>
    <row r="1007" spans="1:11" ht="15.75" customHeight="1">
      <c r="A1007" s="28" t="s">
        <v>261</v>
      </c>
      <c r="B1007" s="28" t="s">
        <v>28</v>
      </c>
      <c r="C1007" s="28" t="s">
        <v>14</v>
      </c>
      <c r="D1007" s="28" t="str">
        <f>VLOOKUP(Table1[[#This Row],[Point of Origin]],Table2[#All],2,0)</f>
        <v>USA</v>
      </c>
      <c r="E1007" s="28" t="str">
        <f>VLOOKUP(Table1[[#This Row],[Point of Origin]],Table2[#All],3,0)</f>
        <v>Domestic</v>
      </c>
      <c r="F1007" s="36" t="s">
        <v>161</v>
      </c>
      <c r="G1007" s="21" t="s">
        <v>162</v>
      </c>
      <c r="H1007" s="22">
        <f>300</f>
        <v>300</v>
      </c>
      <c r="I1007" s="22">
        <f>Table1[[#This Row],[Total Weight Imported (lbs)]]*0.453592</f>
        <v>136.07759999999999</v>
      </c>
      <c r="J1007" s="23">
        <f>192.5</f>
        <v>192.5</v>
      </c>
      <c r="K1007" s="41"/>
    </row>
    <row r="1008" spans="1:11" ht="15.75" customHeight="1">
      <c r="A1008" s="28" t="s">
        <v>261</v>
      </c>
      <c r="B1008" s="28" t="s">
        <v>28</v>
      </c>
      <c r="C1008" s="28" t="s">
        <v>14</v>
      </c>
      <c r="D1008" s="28" t="str">
        <f>VLOOKUP(Table1[[#This Row],[Point of Origin]],Table2[#All],2,0)</f>
        <v>USA</v>
      </c>
      <c r="E1008" s="28" t="str">
        <f>VLOOKUP(Table1[[#This Row],[Point of Origin]],Table2[#All],3,0)</f>
        <v>Domestic</v>
      </c>
      <c r="F1008" s="28" t="s">
        <v>36</v>
      </c>
      <c r="G1008" s="21" t="s">
        <v>37</v>
      </c>
      <c r="H1008" s="22">
        <f>350</f>
        <v>350</v>
      </c>
      <c r="I1008" s="22">
        <f>Table1[[#This Row],[Total Weight Imported (lbs)]]*0.453592</f>
        <v>158.75720000000001</v>
      </c>
      <c r="J1008" s="23">
        <f>1050</f>
        <v>1050</v>
      </c>
      <c r="K1008" s="1"/>
    </row>
    <row r="1009" spans="1:11" ht="15.75" customHeight="1">
      <c r="A1009" s="28" t="s">
        <v>261</v>
      </c>
      <c r="B1009" s="28" t="s">
        <v>28</v>
      </c>
      <c r="C1009" s="28" t="s">
        <v>14</v>
      </c>
      <c r="D1009" s="28" t="str">
        <f>VLOOKUP(Table1[[#This Row],[Point of Origin]],Table2[#All],2,0)</f>
        <v>USA</v>
      </c>
      <c r="E1009" s="28" t="str">
        <f>VLOOKUP(Table1[[#This Row],[Point of Origin]],Table2[#All],3,0)</f>
        <v>Domestic</v>
      </c>
      <c r="F1009" s="36" t="s">
        <v>58</v>
      </c>
      <c r="G1009" s="21" t="s">
        <v>34</v>
      </c>
      <c r="H1009" s="22">
        <f t="shared" ref="H1009:J1009" si="0">1420</f>
        <v>1420</v>
      </c>
      <c r="I1009" s="22">
        <f>Table1[[#This Row],[Total Weight Imported (lbs)]]*0.453592</f>
        <v>644.10064</v>
      </c>
      <c r="J1009" s="23">
        <f t="shared" si="0"/>
        <v>1420</v>
      </c>
      <c r="K1009" s="1"/>
    </row>
    <row r="1010" spans="1:11" ht="15.75" customHeight="1">
      <c r="A1010" s="28" t="s">
        <v>261</v>
      </c>
      <c r="B1010" s="28" t="s">
        <v>28</v>
      </c>
      <c r="C1010" s="28" t="s">
        <v>14</v>
      </c>
      <c r="D1010" s="28" t="str">
        <f>VLOOKUP(Table1[[#This Row],[Point of Origin]],Table2[#All],2,0)</f>
        <v>USA</v>
      </c>
      <c r="E1010" s="28" t="str">
        <f>VLOOKUP(Table1[[#This Row],[Point of Origin]],Table2[#All],3,0)</f>
        <v>Domestic</v>
      </c>
      <c r="F1010" s="28" t="s">
        <v>76</v>
      </c>
      <c r="G1010" s="21" t="s">
        <v>77</v>
      </c>
      <c r="H1010" s="22">
        <v>75</v>
      </c>
      <c r="I1010" s="22">
        <f>Table1[[#This Row],[Total Weight Imported (lbs)]]*0.453592</f>
        <v>34.019399999999997</v>
      </c>
      <c r="J1010" s="23">
        <v>115.5</v>
      </c>
      <c r="K1010" s="1"/>
    </row>
    <row r="1011" spans="1:11" ht="15.75" customHeight="1">
      <c r="A1011" s="28" t="s">
        <v>261</v>
      </c>
      <c r="B1011" s="28" t="s">
        <v>28</v>
      </c>
      <c r="C1011" s="28" t="s">
        <v>14</v>
      </c>
      <c r="D1011" s="28" t="str">
        <f>VLOOKUP(Table1[[#This Row],[Point of Origin]],Table2[#All],2,0)</f>
        <v>USA</v>
      </c>
      <c r="E1011" s="28" t="str">
        <f>VLOOKUP(Table1[[#This Row],[Point of Origin]],Table2[#All],3,0)</f>
        <v>Domestic</v>
      </c>
      <c r="F1011" s="28" t="s">
        <v>76</v>
      </c>
      <c r="G1011" s="21" t="s">
        <v>77</v>
      </c>
      <c r="H1011" s="22">
        <v>75</v>
      </c>
      <c r="I1011" s="22">
        <f>Table1[[#This Row],[Total Weight Imported (lbs)]]*0.453592</f>
        <v>34.019399999999997</v>
      </c>
      <c r="J1011" s="23">
        <v>115.5</v>
      </c>
      <c r="K1011" s="1"/>
    </row>
    <row r="1012" spans="1:11" ht="15.75" customHeight="1">
      <c r="A1012" s="28" t="s">
        <v>261</v>
      </c>
      <c r="B1012" s="28" t="s">
        <v>28</v>
      </c>
      <c r="C1012" s="28" t="s">
        <v>14</v>
      </c>
      <c r="D1012" s="28" t="str">
        <f>VLOOKUP(Table1[[#This Row],[Point of Origin]],Table2[#All],2,0)</f>
        <v>USA</v>
      </c>
      <c r="E1012" s="28" t="str">
        <f>VLOOKUP(Table1[[#This Row],[Point of Origin]],Table2[#All],3,0)</f>
        <v>Domestic</v>
      </c>
      <c r="F1012" s="28" t="s">
        <v>43</v>
      </c>
      <c r="G1012" s="21" t="s">
        <v>44</v>
      </c>
      <c r="H1012" s="22">
        <f>1080</f>
        <v>1080</v>
      </c>
      <c r="I1012" s="22">
        <f>Table1[[#This Row],[Total Weight Imported (lbs)]]*0.453592</f>
        <v>489.87936000000002</v>
      </c>
      <c r="J1012" s="23">
        <f>972</f>
        <v>972</v>
      </c>
      <c r="K1012" s="41"/>
    </row>
    <row r="1013" spans="1:11" ht="15.75" customHeight="1">
      <c r="A1013" s="28" t="s">
        <v>261</v>
      </c>
      <c r="B1013" s="28" t="s">
        <v>28</v>
      </c>
      <c r="C1013" s="28" t="s">
        <v>14</v>
      </c>
      <c r="D1013" s="28" t="str">
        <f>VLOOKUP(Table1[[#This Row],[Point of Origin]],Table2[#All],2,0)</f>
        <v>USA</v>
      </c>
      <c r="E1013" s="28" t="str">
        <f>VLOOKUP(Table1[[#This Row],[Point of Origin]],Table2[#All],3,0)</f>
        <v>Domestic</v>
      </c>
      <c r="F1013" s="36" t="s">
        <v>102</v>
      </c>
      <c r="G1013" s="21" t="s">
        <v>32</v>
      </c>
      <c r="H1013" s="22">
        <f>36</f>
        <v>36</v>
      </c>
      <c r="I1013" s="22">
        <f>Table1[[#This Row],[Total Weight Imported (lbs)]]*0.453592</f>
        <v>16.329312000000002</v>
      </c>
      <c r="J1013" s="23">
        <f>63</f>
        <v>63</v>
      </c>
      <c r="K1013" s="41"/>
    </row>
    <row r="1014" spans="1:11" ht="15.75" customHeight="1">
      <c r="A1014" s="28" t="s">
        <v>261</v>
      </c>
      <c r="B1014" s="28" t="s">
        <v>28</v>
      </c>
      <c r="C1014" s="28" t="s">
        <v>14</v>
      </c>
      <c r="D1014" s="28" t="str">
        <f>VLOOKUP(Table1[[#This Row],[Point of Origin]],Table2[#All],2,0)</f>
        <v>USA</v>
      </c>
      <c r="E1014" s="28" t="str">
        <f>VLOOKUP(Table1[[#This Row],[Point of Origin]],Table2[#All],3,0)</f>
        <v>Domestic</v>
      </c>
      <c r="F1014" s="36" t="s">
        <v>169</v>
      </c>
      <c r="G1014" s="21" t="s">
        <v>170</v>
      </c>
      <c r="H1014" s="22">
        <f>50</f>
        <v>50</v>
      </c>
      <c r="I1014" s="22">
        <f>Table1[[#This Row],[Total Weight Imported (lbs)]]*0.453592</f>
        <v>22.679600000000001</v>
      </c>
      <c r="J1014" s="23">
        <f>165</f>
        <v>165</v>
      </c>
      <c r="K1014" s="41"/>
    </row>
    <row r="1015" spans="1:11" ht="15.75" customHeight="1">
      <c r="A1015" s="28" t="s">
        <v>261</v>
      </c>
      <c r="B1015" s="28" t="s">
        <v>28</v>
      </c>
      <c r="C1015" s="28" t="s">
        <v>14</v>
      </c>
      <c r="D1015" s="28" t="str">
        <f>VLOOKUP(Table1[[#This Row],[Point of Origin]],Table2[#All],2,0)</f>
        <v>USA</v>
      </c>
      <c r="E1015" s="28" t="str">
        <f>VLOOKUP(Table1[[#This Row],[Point of Origin]],Table2[#All],3,0)</f>
        <v>Domestic</v>
      </c>
      <c r="F1015" s="28" t="s">
        <v>61</v>
      </c>
      <c r="G1015" s="21" t="s">
        <v>62</v>
      </c>
      <c r="H1015" s="22">
        <f>1125+625+175</f>
        <v>1925</v>
      </c>
      <c r="I1015" s="22">
        <f>Table1[[#This Row],[Total Weight Imported (lbs)]]*0.453592</f>
        <v>873.16459999999995</v>
      </c>
      <c r="J1015" s="23">
        <f>1462.5+1000+241.5</f>
        <v>2704</v>
      </c>
      <c r="K1015" s="41"/>
    </row>
    <row r="1016" spans="1:11" ht="15.75" customHeight="1">
      <c r="A1016" s="28" t="s">
        <v>261</v>
      </c>
      <c r="B1016" s="28" t="s">
        <v>28</v>
      </c>
      <c r="C1016" s="28" t="s">
        <v>14</v>
      </c>
      <c r="D1016" s="28" t="str">
        <f>VLOOKUP(Table1[[#This Row],[Point of Origin]],Table2[#All],2,0)</f>
        <v>USA</v>
      </c>
      <c r="E1016" s="28" t="str">
        <f>VLOOKUP(Table1[[#This Row],[Point of Origin]],Table2[#All],3,0)</f>
        <v>Domestic</v>
      </c>
      <c r="F1016" s="28" t="s">
        <v>61</v>
      </c>
      <c r="G1016" s="21" t="s">
        <v>62</v>
      </c>
      <c r="H1016" s="22">
        <f>30</f>
        <v>30</v>
      </c>
      <c r="I1016" s="22">
        <f>Table1[[#This Row],[Total Weight Imported (lbs)]]*0.453592</f>
        <v>13.607759999999999</v>
      </c>
      <c r="J1016" s="23">
        <f>54</f>
        <v>54</v>
      </c>
      <c r="K1016" s="41"/>
    </row>
    <row r="1017" spans="1:11" ht="15.75" customHeight="1">
      <c r="A1017" s="28" t="s">
        <v>261</v>
      </c>
      <c r="B1017" s="28" t="s">
        <v>28</v>
      </c>
      <c r="C1017" s="28" t="s">
        <v>14</v>
      </c>
      <c r="D1017" s="28" t="str">
        <f>VLOOKUP(Table1[[#This Row],[Point of Origin]],Table2[#All],2,0)</f>
        <v>USA</v>
      </c>
      <c r="E1017" s="28" t="str">
        <f>VLOOKUP(Table1[[#This Row],[Point of Origin]],Table2[#All],3,0)</f>
        <v>Domestic</v>
      </c>
      <c r="F1017" s="28" t="s">
        <v>159</v>
      </c>
      <c r="G1017" s="21" t="s">
        <v>160</v>
      </c>
      <c r="H1017" s="22">
        <f>750</f>
        <v>750</v>
      </c>
      <c r="I1017" s="22">
        <f>Table1[[#This Row],[Total Weight Imported (lbs)]]*0.453592</f>
        <v>340.19400000000002</v>
      </c>
      <c r="J1017" s="23">
        <f>600</f>
        <v>600</v>
      </c>
      <c r="K1017" s="1"/>
    </row>
    <row r="1018" spans="1:11" ht="15.75" customHeight="1">
      <c r="A1018" s="28" t="s">
        <v>261</v>
      </c>
      <c r="B1018" s="28" t="s">
        <v>28</v>
      </c>
      <c r="C1018" s="28" t="s">
        <v>14</v>
      </c>
      <c r="D1018" s="28" t="str">
        <f>VLOOKUP(Table1[[#This Row],[Point of Origin]],Table2[#All],2,0)</f>
        <v>USA</v>
      </c>
      <c r="E1018" s="28" t="str">
        <f>VLOOKUP(Table1[[#This Row],[Point of Origin]],Table2[#All],3,0)</f>
        <v>Domestic</v>
      </c>
      <c r="F1018" s="36" t="s">
        <v>141</v>
      </c>
      <c r="G1018" s="21" t="s">
        <v>142</v>
      </c>
      <c r="H1018" s="22">
        <f>625</f>
        <v>625</v>
      </c>
      <c r="I1018" s="22">
        <f>Table1[[#This Row],[Total Weight Imported (lbs)]]*0.453592</f>
        <v>283.495</v>
      </c>
      <c r="J1018" s="23">
        <f>1000</f>
        <v>1000</v>
      </c>
      <c r="K1018" s="41"/>
    </row>
    <row r="1019" spans="1:11" ht="15.75" customHeight="1">
      <c r="A1019" s="28" t="s">
        <v>261</v>
      </c>
      <c r="B1019" s="28" t="s">
        <v>28</v>
      </c>
      <c r="C1019" s="28" t="s">
        <v>14</v>
      </c>
      <c r="D1019" s="28" t="str">
        <f>VLOOKUP(Table1[[#This Row],[Point of Origin]],Table2[#All],2,0)</f>
        <v>USA</v>
      </c>
      <c r="E1019" s="28" t="str">
        <f>VLOOKUP(Table1[[#This Row],[Point of Origin]],Table2[#All],3,0)</f>
        <v>Domestic</v>
      </c>
      <c r="F1019" s="36" t="s">
        <v>141</v>
      </c>
      <c r="G1019" s="21" t="s">
        <v>142</v>
      </c>
      <c r="H1019" s="22">
        <f>350+2750</f>
        <v>3100</v>
      </c>
      <c r="I1019" s="22">
        <f>Table1[[#This Row],[Total Weight Imported (lbs)]]*0.453592</f>
        <v>1406.1351999999999</v>
      </c>
      <c r="J1019" s="23">
        <f>105+825</f>
        <v>930</v>
      </c>
      <c r="K1019" s="41"/>
    </row>
    <row r="1020" spans="1:11" ht="15.75" customHeight="1">
      <c r="A1020" s="28" t="s">
        <v>261</v>
      </c>
      <c r="B1020" s="28" t="s">
        <v>28</v>
      </c>
      <c r="C1020" s="28" t="s">
        <v>14</v>
      </c>
      <c r="D1020" s="28" t="str">
        <f>VLOOKUP(Table1[[#This Row],[Point of Origin]],Table2[#All],2,0)</f>
        <v>USA</v>
      </c>
      <c r="E1020" s="28" t="str">
        <f>VLOOKUP(Table1[[#This Row],[Point of Origin]],Table2[#All],3,0)</f>
        <v>Domestic</v>
      </c>
      <c r="F1020" s="28" t="s">
        <v>50</v>
      </c>
      <c r="G1020" s="21" t="s">
        <v>51</v>
      </c>
      <c r="H1020" s="22">
        <f>345</f>
        <v>345</v>
      </c>
      <c r="I1020" s="22">
        <f>Table1[[#This Row],[Total Weight Imported (lbs)]]*0.453592</f>
        <v>156.48924</v>
      </c>
      <c r="J1020" s="23">
        <f>730+79.5</f>
        <v>809.5</v>
      </c>
      <c r="K1020" s="41"/>
    </row>
    <row r="1021" spans="1:11" ht="15.75" customHeight="1">
      <c r="A1021" s="28" t="s">
        <v>261</v>
      </c>
      <c r="B1021" s="28" t="s">
        <v>28</v>
      </c>
      <c r="C1021" s="28" t="s">
        <v>14</v>
      </c>
      <c r="D1021" s="28" t="str">
        <f>VLOOKUP(Table1[[#This Row],[Point of Origin]],Table2[#All],2,0)</f>
        <v>USA</v>
      </c>
      <c r="E1021" s="28" t="str">
        <f>VLOOKUP(Table1[[#This Row],[Point of Origin]],Table2[#All],3,0)</f>
        <v>Domestic</v>
      </c>
      <c r="F1021" s="28" t="s">
        <v>63</v>
      </c>
      <c r="G1021" s="21" t="s">
        <v>64</v>
      </c>
      <c r="H1021" s="22">
        <f>720</f>
        <v>720</v>
      </c>
      <c r="I1021" s="22">
        <f>Table1[[#This Row],[Total Weight Imported (lbs)]]*0.453592</f>
        <v>326.58623999999998</v>
      </c>
      <c r="J1021" s="23">
        <f>575</f>
        <v>575</v>
      </c>
      <c r="K1021" s="1"/>
    </row>
    <row r="1022" spans="1:11" ht="15.75" customHeight="1">
      <c r="A1022" s="28" t="s">
        <v>261</v>
      </c>
      <c r="B1022" s="28" t="s">
        <v>28</v>
      </c>
      <c r="C1022" s="28" t="s">
        <v>14</v>
      </c>
      <c r="D1022" s="28" t="str">
        <f>VLOOKUP(Table1[[#This Row],[Point of Origin]],Table2[#All],2,0)</f>
        <v>USA</v>
      </c>
      <c r="E1022" s="28" t="str">
        <f>VLOOKUP(Table1[[#This Row],[Point of Origin]],Table2[#All],3,0)</f>
        <v>Domestic</v>
      </c>
      <c r="F1022" s="28" t="s">
        <v>63</v>
      </c>
      <c r="G1022" s="21" t="s">
        <v>64</v>
      </c>
      <c r="H1022" s="22">
        <f>168</f>
        <v>168</v>
      </c>
      <c r="I1022" s="22">
        <f>Table1[[#This Row],[Total Weight Imported (lbs)]]*0.453592</f>
        <v>76.203456000000003</v>
      </c>
      <c r="J1022" s="23">
        <f>108.5</f>
        <v>108.5</v>
      </c>
      <c r="K1022" s="1"/>
    </row>
    <row r="1023" spans="1:11" ht="15.75" customHeight="1">
      <c r="A1023" s="28" t="s">
        <v>261</v>
      </c>
      <c r="B1023" s="28" t="s">
        <v>28</v>
      </c>
      <c r="C1023" s="28" t="s">
        <v>14</v>
      </c>
      <c r="D1023" s="28" t="str">
        <f>VLOOKUP(Table1[[#This Row],[Point of Origin]],Table2[#All],2,0)</f>
        <v>USA</v>
      </c>
      <c r="E1023" s="28" t="str">
        <f>VLOOKUP(Table1[[#This Row],[Point of Origin]],Table2[#All],3,0)</f>
        <v>Domestic</v>
      </c>
      <c r="F1023" s="28" t="s">
        <v>128</v>
      </c>
      <c r="G1023" s="21" t="s">
        <v>129</v>
      </c>
      <c r="H1023" s="22">
        <f>130</f>
        <v>130</v>
      </c>
      <c r="I1023" s="22">
        <f>Table1[[#This Row],[Total Weight Imported (lbs)]]*0.453592</f>
        <v>58.96696</v>
      </c>
      <c r="J1023" s="23">
        <f>237.5</f>
        <v>237.5</v>
      </c>
      <c r="K1023" s="41"/>
    </row>
    <row r="1024" spans="1:11" ht="15.75" customHeight="1">
      <c r="A1024" s="28" t="s">
        <v>261</v>
      </c>
      <c r="B1024" s="28" t="s">
        <v>28</v>
      </c>
      <c r="C1024" s="28" t="s">
        <v>14</v>
      </c>
      <c r="D1024" s="28" t="str">
        <f>VLOOKUP(Table1[[#This Row],[Point of Origin]],Table2[#All],2,0)</f>
        <v>USA</v>
      </c>
      <c r="E1024" s="28" t="str">
        <f>VLOOKUP(Table1[[#This Row],[Point of Origin]],Table2[#All],3,0)</f>
        <v>Domestic</v>
      </c>
      <c r="F1024" s="28" t="s">
        <v>38</v>
      </c>
      <c r="G1024" s="21" t="s">
        <v>39</v>
      </c>
      <c r="H1024" s="22">
        <f>1375+375+750</f>
        <v>2500</v>
      </c>
      <c r="I1024" s="22">
        <f>Table1[[#This Row],[Total Weight Imported (lbs)]]*0.453592</f>
        <v>1133.98</v>
      </c>
      <c r="J1024" s="23">
        <f>2048.75+612.5+750</f>
        <v>3411.25</v>
      </c>
      <c r="K1024" s="41"/>
    </row>
    <row r="1025" spans="1:11" ht="15.75" customHeight="1">
      <c r="A1025" s="27" t="s">
        <v>262</v>
      </c>
      <c r="B1025" s="27" t="s">
        <v>28</v>
      </c>
      <c r="C1025" s="27" t="s">
        <v>14</v>
      </c>
      <c r="D1025" s="20" t="str">
        <f>VLOOKUP(Table1[[#This Row],[Point of Origin]],Table2[#All],2,0)</f>
        <v>USA</v>
      </c>
      <c r="E1025" s="20" t="str">
        <f>VLOOKUP(Table1[[#This Row],[Point of Origin]],Table2[#All],3,0)</f>
        <v>Domestic</v>
      </c>
      <c r="F1025" s="27" t="s">
        <v>15</v>
      </c>
      <c r="G1025" s="21" t="s">
        <v>16</v>
      </c>
      <c r="H1025" s="22">
        <v>220</v>
      </c>
      <c r="I1025" s="22">
        <f>Table1[[#This Row],[Total Weight Imported (lbs)]]*0.453592</f>
        <v>99.790239999999997</v>
      </c>
      <c r="J1025" s="23">
        <v>1090</v>
      </c>
      <c r="K1025" s="41"/>
    </row>
    <row r="1026" spans="1:11" ht="15.75" customHeight="1">
      <c r="A1026" s="27" t="s">
        <v>262</v>
      </c>
      <c r="B1026" s="27" t="s">
        <v>28</v>
      </c>
      <c r="C1026" s="27" t="s">
        <v>14</v>
      </c>
      <c r="D1026" s="20" t="str">
        <f>VLOOKUP(Table1[[#This Row],[Point of Origin]],Table2[#All],2,0)</f>
        <v>USA</v>
      </c>
      <c r="E1026" s="20" t="str">
        <f>VLOOKUP(Table1[[#This Row],[Point of Origin]],Table2[#All],3,0)</f>
        <v>Domestic</v>
      </c>
      <c r="F1026" s="20" t="s">
        <v>67</v>
      </c>
      <c r="G1026" s="21" t="s">
        <v>68</v>
      </c>
      <c r="H1026" s="22">
        <v>135</v>
      </c>
      <c r="I1026" s="22">
        <f>Table1[[#This Row],[Total Weight Imported (lbs)]]*0.453592</f>
        <v>61.234920000000002</v>
      </c>
      <c r="J1026" s="23">
        <v>348</v>
      </c>
      <c r="K1026" s="41"/>
    </row>
    <row r="1027" spans="1:11" ht="15.75" customHeight="1">
      <c r="A1027" s="27" t="s">
        <v>262</v>
      </c>
      <c r="B1027" s="27" t="s">
        <v>28</v>
      </c>
      <c r="C1027" s="27" t="s">
        <v>14</v>
      </c>
      <c r="D1027" s="20" t="str">
        <f>VLOOKUP(Table1[[#This Row],[Point of Origin]],Table2[#All],2,0)</f>
        <v>USA</v>
      </c>
      <c r="E1027" s="20" t="str">
        <f>VLOOKUP(Table1[[#This Row],[Point of Origin]],Table2[#All],3,0)</f>
        <v>Domestic</v>
      </c>
      <c r="F1027" s="27" t="s">
        <v>124</v>
      </c>
      <c r="G1027" s="21" t="s">
        <v>30</v>
      </c>
      <c r="H1027" s="22">
        <f>25+250</f>
        <v>275</v>
      </c>
      <c r="I1027" s="22">
        <f>Table1[[#This Row],[Total Weight Imported (lbs)]]*0.453592</f>
        <v>124.73779999999999</v>
      </c>
      <c r="J1027" s="23">
        <f>20+35.37+172.89</f>
        <v>228.26</v>
      </c>
      <c r="K1027" s="41"/>
    </row>
    <row r="1028" spans="1:11" ht="15.75" customHeight="1">
      <c r="A1028" s="27" t="s">
        <v>262</v>
      </c>
      <c r="B1028" s="27" t="s">
        <v>28</v>
      </c>
      <c r="C1028" s="27" t="s">
        <v>14</v>
      </c>
      <c r="D1028" s="20" t="str">
        <f>VLOOKUP(Table1[[#This Row],[Point of Origin]],Table2[#All],2,0)</f>
        <v>USA</v>
      </c>
      <c r="E1028" s="20" t="str">
        <f>VLOOKUP(Table1[[#This Row],[Point of Origin]],Table2[#All],3,0)</f>
        <v>Domestic</v>
      </c>
      <c r="F1028" s="20" t="s">
        <v>19</v>
      </c>
      <c r="G1028" s="21" t="s">
        <v>20</v>
      </c>
      <c r="H1028" s="22">
        <v>396</v>
      </c>
      <c r="I1028" s="22">
        <f>Table1[[#This Row],[Total Weight Imported (lbs)]]*0.453592</f>
        <v>179.622432</v>
      </c>
      <c r="J1028" s="23">
        <v>616</v>
      </c>
      <c r="K1028" s="41"/>
    </row>
    <row r="1029" spans="1:11" ht="15.75" customHeight="1">
      <c r="A1029" s="27" t="s">
        <v>262</v>
      </c>
      <c r="B1029" s="27" t="s">
        <v>28</v>
      </c>
      <c r="C1029" s="27" t="s">
        <v>14</v>
      </c>
      <c r="D1029" s="20" t="str">
        <f>VLOOKUP(Table1[[#This Row],[Point of Origin]],Table2[#All],2,0)</f>
        <v>USA</v>
      </c>
      <c r="E1029" s="20" t="str">
        <f>VLOOKUP(Table1[[#This Row],[Point of Origin]],Table2[#All],3,0)</f>
        <v>Domestic</v>
      </c>
      <c r="F1029" s="20" t="s">
        <v>21</v>
      </c>
      <c r="G1029" s="21" t="s">
        <v>22</v>
      </c>
      <c r="H1029" s="22">
        <v>75</v>
      </c>
      <c r="I1029" s="22">
        <f>Table1[[#This Row],[Total Weight Imported (lbs)]]*0.453592</f>
        <v>34.019399999999997</v>
      </c>
      <c r="J1029" s="23">
        <v>108</v>
      </c>
      <c r="K1029" s="41"/>
    </row>
    <row r="1030" spans="1:11" ht="15.75" customHeight="1">
      <c r="A1030" s="27" t="s">
        <v>262</v>
      </c>
      <c r="B1030" s="27" t="s">
        <v>28</v>
      </c>
      <c r="C1030" s="27" t="s">
        <v>14</v>
      </c>
      <c r="D1030" s="20" t="str">
        <f>VLOOKUP(Table1[[#This Row],[Point of Origin]],Table2[#All],2,0)</f>
        <v>USA</v>
      </c>
      <c r="E1030" s="20" t="str">
        <f>VLOOKUP(Table1[[#This Row],[Point of Origin]],Table2[#All],3,0)</f>
        <v>Domestic</v>
      </c>
      <c r="F1030" s="20" t="s">
        <v>82</v>
      </c>
      <c r="G1030" s="21" t="s">
        <v>20</v>
      </c>
      <c r="H1030" s="22">
        <f>275+252</f>
        <v>527</v>
      </c>
      <c r="I1030" s="22">
        <f>Table1[[#This Row],[Total Weight Imported (lbs)]]*0.453592</f>
        <v>239.04298399999999</v>
      </c>
      <c r="J1030" s="23">
        <f>157.5+297</f>
        <v>454.5</v>
      </c>
      <c r="K1030" s="41"/>
    </row>
    <row r="1031" spans="1:11" ht="15.75" customHeight="1">
      <c r="A1031" s="27" t="s">
        <v>262</v>
      </c>
      <c r="B1031" s="27" t="s">
        <v>28</v>
      </c>
      <c r="C1031" s="27" t="s">
        <v>14</v>
      </c>
      <c r="D1031" s="20" t="str">
        <f>VLOOKUP(Table1[[#This Row],[Point of Origin]],Table2[#All],2,0)</f>
        <v>USA</v>
      </c>
      <c r="E1031" s="20" t="str">
        <f>VLOOKUP(Table1[[#This Row],[Point of Origin]],Table2[#All],3,0)</f>
        <v>Domestic</v>
      </c>
      <c r="F1031" s="20" t="s">
        <v>82</v>
      </c>
      <c r="G1031" s="21" t="s">
        <v>20</v>
      </c>
      <c r="H1031" s="22">
        <v>200</v>
      </c>
      <c r="I1031" s="22">
        <f>Table1[[#This Row],[Total Weight Imported (lbs)]]*0.453592</f>
        <v>90.718400000000003</v>
      </c>
      <c r="J1031" s="23">
        <v>112</v>
      </c>
      <c r="K1031" s="41"/>
    </row>
    <row r="1032" spans="1:11" ht="15.75" customHeight="1">
      <c r="A1032" s="27" t="s">
        <v>262</v>
      </c>
      <c r="B1032" s="27" t="s">
        <v>28</v>
      </c>
      <c r="C1032" s="27" t="s">
        <v>14</v>
      </c>
      <c r="D1032" s="20" t="str">
        <f>VLOOKUP(Table1[[#This Row],[Point of Origin]],Table2[#All],2,0)</f>
        <v>USA</v>
      </c>
      <c r="E1032" s="20" t="str">
        <f>VLOOKUP(Table1[[#This Row],[Point of Origin]],Table2[#All],3,0)</f>
        <v>Domestic</v>
      </c>
      <c r="F1032" s="20" t="s">
        <v>40</v>
      </c>
      <c r="G1032" s="21" t="s">
        <v>41</v>
      </c>
      <c r="H1032" s="22">
        <f>336+2550+750+48+15050</f>
        <v>18734</v>
      </c>
      <c r="I1032" s="22">
        <f>Table1[[#This Row],[Total Weight Imported (lbs)]]*0.453592</f>
        <v>8497.5925279999992</v>
      </c>
      <c r="J1032" s="23">
        <f>30+264.6+1797.75+814+39.63+198.15</f>
        <v>3144.13</v>
      </c>
      <c r="K1032" s="41"/>
    </row>
    <row r="1033" spans="1:11" ht="15.75" customHeight="1">
      <c r="A1033" s="27" t="s">
        <v>262</v>
      </c>
      <c r="B1033" s="27" t="s">
        <v>28</v>
      </c>
      <c r="C1033" s="27" t="s">
        <v>14</v>
      </c>
      <c r="D1033" s="20" t="str">
        <f>VLOOKUP(Table1[[#This Row],[Point of Origin]],Table2[#All],2,0)</f>
        <v>USA</v>
      </c>
      <c r="E1033" s="20" t="str">
        <f>VLOOKUP(Table1[[#This Row],[Point of Origin]],Table2[#All],3,0)</f>
        <v>Domestic</v>
      </c>
      <c r="F1033" s="20" t="s">
        <v>19</v>
      </c>
      <c r="G1033" s="21" t="s">
        <v>20</v>
      </c>
      <c r="H1033" s="22">
        <v>162</v>
      </c>
      <c r="I1033" s="22">
        <f>Table1[[#This Row],[Total Weight Imported (lbs)]]*0.453592</f>
        <v>73.481904</v>
      </c>
      <c r="J1033" s="23">
        <v>351</v>
      </c>
      <c r="K1033" s="41"/>
    </row>
    <row r="1034" spans="1:11" ht="15.75" customHeight="1">
      <c r="A1034" s="27" t="s">
        <v>262</v>
      </c>
      <c r="B1034" s="27" t="s">
        <v>28</v>
      </c>
      <c r="C1034" s="27" t="s">
        <v>14</v>
      </c>
      <c r="D1034" s="20" t="str">
        <f>VLOOKUP(Table1[[#This Row],[Point of Origin]],Table2[#All],2,0)</f>
        <v>USA</v>
      </c>
      <c r="E1034" s="20" t="str">
        <f>VLOOKUP(Table1[[#This Row],[Point of Origin]],Table2[#All],3,0)</f>
        <v>Domestic</v>
      </c>
      <c r="F1034" s="27" t="s">
        <v>56</v>
      </c>
      <c r="G1034" s="21" t="s">
        <v>57</v>
      </c>
      <c r="H1034" s="22">
        <v>364</v>
      </c>
      <c r="I1034" s="22">
        <f>Table1[[#This Row],[Total Weight Imported (lbs)]]*0.453592</f>
        <v>165.10748799999999</v>
      </c>
      <c r="J1034" s="23">
        <v>171.5</v>
      </c>
      <c r="K1034" s="41"/>
    </row>
    <row r="1035" spans="1:11" ht="15.75" customHeight="1">
      <c r="A1035" s="27" t="s">
        <v>262</v>
      </c>
      <c r="B1035" s="27" t="s">
        <v>28</v>
      </c>
      <c r="C1035" s="27" t="s">
        <v>14</v>
      </c>
      <c r="D1035" s="20" t="str">
        <f>VLOOKUP(Table1[[#This Row],[Point of Origin]],Table2[#All],2,0)</f>
        <v>USA</v>
      </c>
      <c r="E1035" s="20" t="str">
        <f>VLOOKUP(Table1[[#This Row],[Point of Origin]],Table2[#All],3,0)</f>
        <v>Domestic</v>
      </c>
      <c r="F1035" s="27" t="s">
        <v>163</v>
      </c>
      <c r="G1035" s="21" t="s">
        <v>164</v>
      </c>
      <c r="H1035" s="22">
        <v>120</v>
      </c>
      <c r="I1035" s="22">
        <f>Table1[[#This Row],[Total Weight Imported (lbs)]]*0.453592</f>
        <v>54.431039999999996</v>
      </c>
      <c r="J1035" s="23">
        <v>210</v>
      </c>
      <c r="K1035" s="41"/>
    </row>
    <row r="1036" spans="1:11" ht="15.75" customHeight="1">
      <c r="A1036" s="27" t="s">
        <v>262</v>
      </c>
      <c r="B1036" s="27" t="s">
        <v>28</v>
      </c>
      <c r="C1036" s="27" t="s">
        <v>14</v>
      </c>
      <c r="D1036" s="20" t="str">
        <f>VLOOKUP(Table1[[#This Row],[Point of Origin]],Table2[#All],2,0)</f>
        <v>USA</v>
      </c>
      <c r="E1036" s="20" t="str">
        <f>VLOOKUP(Table1[[#This Row],[Point of Origin]],Table2[#All],3,0)</f>
        <v>Domestic</v>
      </c>
      <c r="F1036" s="27" t="s">
        <v>71</v>
      </c>
      <c r="G1036" s="21" t="s">
        <v>72</v>
      </c>
      <c r="H1036" s="22">
        <v>216</v>
      </c>
      <c r="I1036" s="22">
        <f>Table1[[#This Row],[Total Weight Imported (lbs)]]*0.453592</f>
        <v>97.975871999999995</v>
      </c>
      <c r="J1036" s="23">
        <v>492</v>
      </c>
      <c r="K1036" s="41"/>
    </row>
    <row r="1037" spans="1:11" ht="15.75" customHeight="1">
      <c r="A1037" s="27" t="s">
        <v>262</v>
      </c>
      <c r="B1037" s="27" t="s">
        <v>28</v>
      </c>
      <c r="C1037" s="27" t="s">
        <v>14</v>
      </c>
      <c r="D1037" s="20" t="str">
        <f>VLOOKUP(Table1[[#This Row],[Point of Origin]],Table2[#All],2,0)</f>
        <v>USA</v>
      </c>
      <c r="E1037" s="20" t="str">
        <f>VLOOKUP(Table1[[#This Row],[Point of Origin]],Table2[#All],3,0)</f>
        <v>Domestic</v>
      </c>
      <c r="F1037" s="27" t="s">
        <v>71</v>
      </c>
      <c r="G1037" s="21" t="s">
        <v>72</v>
      </c>
      <c r="H1037" s="22">
        <f>54+360</f>
        <v>414</v>
      </c>
      <c r="I1037" s="22">
        <f>Table1[[#This Row],[Total Weight Imported (lbs)]]*0.453592</f>
        <v>187.78708800000001</v>
      </c>
      <c r="J1037" s="23">
        <f>130.5+820</f>
        <v>950.5</v>
      </c>
      <c r="K1037" s="41"/>
    </row>
    <row r="1038" spans="1:11" ht="15.75" customHeight="1">
      <c r="A1038" s="27" t="s">
        <v>262</v>
      </c>
      <c r="B1038" s="27" t="s">
        <v>28</v>
      </c>
      <c r="C1038" s="27" t="s">
        <v>14</v>
      </c>
      <c r="D1038" s="20" t="str">
        <f>VLOOKUP(Table1[[#This Row],[Point of Origin]],Table2[#All],2,0)</f>
        <v>USA</v>
      </c>
      <c r="E1038" s="20" t="str">
        <f>VLOOKUP(Table1[[#This Row],[Point of Origin]],Table2[#All],3,0)</f>
        <v>Domestic</v>
      </c>
      <c r="F1038" s="27" t="s">
        <v>87</v>
      </c>
      <c r="G1038" s="21" t="s">
        <v>20</v>
      </c>
      <c r="H1038" s="22">
        <v>360</v>
      </c>
      <c r="I1038" s="22">
        <f>Table1[[#This Row],[Total Weight Imported (lbs)]]*0.453592</f>
        <v>163.29311999999999</v>
      </c>
      <c r="J1038" s="23">
        <v>525</v>
      </c>
      <c r="K1038" s="41"/>
    </row>
    <row r="1039" spans="1:11" ht="15.75" customHeight="1">
      <c r="A1039" s="27" t="s">
        <v>262</v>
      </c>
      <c r="B1039" s="27" t="s">
        <v>28</v>
      </c>
      <c r="C1039" s="27" t="s">
        <v>14</v>
      </c>
      <c r="D1039" s="20" t="str">
        <f>VLOOKUP(Table1[[#This Row],[Point of Origin]],Table2[#All],2,0)</f>
        <v>USA</v>
      </c>
      <c r="E1039" s="20" t="str">
        <f>VLOOKUP(Table1[[#This Row],[Point of Origin]],Table2[#All],3,0)</f>
        <v>Domestic</v>
      </c>
      <c r="F1039" s="27" t="s">
        <v>139</v>
      </c>
      <c r="G1039" s="21" t="s">
        <v>140</v>
      </c>
      <c r="H1039" s="22">
        <v>360</v>
      </c>
      <c r="I1039" s="22">
        <f>Table1[[#This Row],[Total Weight Imported (lbs)]]*0.453592</f>
        <v>163.29311999999999</v>
      </c>
      <c r="J1039" s="23">
        <v>525</v>
      </c>
      <c r="K1039" s="41"/>
    </row>
    <row r="1040" spans="1:11" ht="15.75" customHeight="1">
      <c r="A1040" s="27" t="s">
        <v>262</v>
      </c>
      <c r="B1040" s="27" t="s">
        <v>28</v>
      </c>
      <c r="C1040" s="27" t="s">
        <v>14</v>
      </c>
      <c r="D1040" s="20" t="str">
        <f>VLOOKUP(Table1[[#This Row],[Point of Origin]],Table2[#All],2,0)</f>
        <v>USA</v>
      </c>
      <c r="E1040" s="20" t="str">
        <f>VLOOKUP(Table1[[#This Row],[Point of Origin]],Table2[#All],3,0)</f>
        <v>Domestic</v>
      </c>
      <c r="F1040" s="27" t="s">
        <v>137</v>
      </c>
      <c r="G1040" s="21" t="s">
        <v>138</v>
      </c>
      <c r="H1040" s="22">
        <v>440</v>
      </c>
      <c r="I1040" s="22">
        <f>Table1[[#This Row],[Total Weight Imported (lbs)]]*0.453592</f>
        <v>199.58047999999999</v>
      </c>
      <c r="J1040" s="23">
        <v>456.5</v>
      </c>
      <c r="K1040" s="1"/>
    </row>
    <row r="1041" spans="1:11" ht="15.75" customHeight="1">
      <c r="A1041" s="27" t="s">
        <v>262</v>
      </c>
      <c r="B1041" s="27" t="s">
        <v>28</v>
      </c>
      <c r="C1041" s="27" t="s">
        <v>14</v>
      </c>
      <c r="D1041" s="20" t="str">
        <f>VLOOKUP(Table1[[#This Row],[Point of Origin]],Table2[#All],2,0)</f>
        <v>USA</v>
      </c>
      <c r="E1041" s="20" t="str">
        <f>VLOOKUP(Table1[[#This Row],[Point of Origin]],Table2[#All],3,0)</f>
        <v>Domestic</v>
      </c>
      <c r="F1041" s="20" t="s">
        <v>59</v>
      </c>
      <c r="G1041" s="21" t="s">
        <v>60</v>
      </c>
      <c r="H1041" s="22">
        <f>51+760+3325+759</f>
        <v>4895</v>
      </c>
      <c r="I1041" s="22">
        <f>Table1[[#This Row],[Total Weight Imported (lbs)]]*0.453592</f>
        <v>2220.33284</v>
      </c>
      <c r="J1041" s="23">
        <f>70.5+490+3458+563.5</f>
        <v>4582</v>
      </c>
      <c r="K1041" s="41"/>
    </row>
    <row r="1042" spans="1:11" ht="15.75" customHeight="1">
      <c r="A1042" s="27" t="s">
        <v>262</v>
      </c>
      <c r="B1042" s="27" t="s">
        <v>28</v>
      </c>
      <c r="C1042" s="27" t="s">
        <v>14</v>
      </c>
      <c r="D1042" s="20" t="str">
        <f>VLOOKUP(Table1[[#This Row],[Point of Origin]],Table2[#All],2,0)</f>
        <v>USA</v>
      </c>
      <c r="E1042" s="20" t="str">
        <f>VLOOKUP(Table1[[#This Row],[Point of Origin]],Table2[#All],3,0)</f>
        <v>Domestic</v>
      </c>
      <c r="F1042" s="20" t="s">
        <v>59</v>
      </c>
      <c r="G1042" s="21" t="s">
        <v>60</v>
      </c>
      <c r="H1042" s="22">
        <v>85</v>
      </c>
      <c r="I1042" s="22">
        <f>Table1[[#This Row],[Total Weight Imported (lbs)]]*0.453592</f>
        <v>38.555320000000002</v>
      </c>
      <c r="J1042" s="23">
        <v>112.5</v>
      </c>
      <c r="K1042" s="41"/>
    </row>
    <row r="1043" spans="1:11" ht="15.75" customHeight="1">
      <c r="A1043" s="27" t="s">
        <v>262</v>
      </c>
      <c r="B1043" s="27" t="s">
        <v>28</v>
      </c>
      <c r="C1043" s="27" t="s">
        <v>14</v>
      </c>
      <c r="D1043" s="20" t="str">
        <f>VLOOKUP(Table1[[#This Row],[Point of Origin]],Table2[#All],2,0)</f>
        <v>USA</v>
      </c>
      <c r="E1043" s="20" t="str">
        <f>VLOOKUP(Table1[[#This Row],[Point of Origin]],Table2[#All],3,0)</f>
        <v>Domestic</v>
      </c>
      <c r="F1043" s="27" t="s">
        <v>147</v>
      </c>
      <c r="G1043" s="21" t="s">
        <v>138</v>
      </c>
      <c r="H1043" s="22">
        <v>216</v>
      </c>
      <c r="I1043" s="22">
        <f>Table1[[#This Row],[Total Weight Imported (lbs)]]*0.453592</f>
        <v>97.975871999999995</v>
      </c>
      <c r="J1043" s="23">
        <v>399</v>
      </c>
      <c r="K1043" s="41"/>
    </row>
    <row r="1044" spans="1:11" ht="15.75" customHeight="1">
      <c r="A1044" s="27" t="s">
        <v>262</v>
      </c>
      <c r="B1044" s="27" t="s">
        <v>28</v>
      </c>
      <c r="C1044" s="27" t="s">
        <v>14</v>
      </c>
      <c r="D1044" s="20" t="str">
        <f>VLOOKUP(Table1[[#This Row],[Point of Origin]],Table2[#All],2,0)</f>
        <v>USA</v>
      </c>
      <c r="E1044" s="20" t="str">
        <f>VLOOKUP(Table1[[#This Row],[Point of Origin]],Table2[#All],3,0)</f>
        <v>Domestic</v>
      </c>
      <c r="F1044" s="20" t="s">
        <v>48</v>
      </c>
      <c r="G1044" s="21" t="s">
        <v>49</v>
      </c>
      <c r="H1044" s="22">
        <v>136</v>
      </c>
      <c r="I1044" s="22">
        <f>Table1[[#This Row],[Total Weight Imported (lbs)]]*0.453592</f>
        <v>61.688512000000003</v>
      </c>
      <c r="J1044" s="23">
        <v>425</v>
      </c>
      <c r="K1044" s="41"/>
    </row>
    <row r="1045" spans="1:11" ht="15.75" customHeight="1">
      <c r="A1045" s="27" t="s">
        <v>262</v>
      </c>
      <c r="B1045" s="27" t="s">
        <v>28</v>
      </c>
      <c r="C1045" s="27" t="s">
        <v>14</v>
      </c>
      <c r="D1045" s="20" t="str">
        <f>VLOOKUP(Table1[[#This Row],[Point of Origin]],Table2[#All],2,0)</f>
        <v>USA</v>
      </c>
      <c r="E1045" s="20" t="str">
        <f>VLOOKUP(Table1[[#This Row],[Point of Origin]],Table2[#All],3,0)</f>
        <v>Domestic</v>
      </c>
      <c r="F1045" s="27" t="s">
        <v>157</v>
      </c>
      <c r="G1045" s="21" t="s">
        <v>127</v>
      </c>
      <c r="H1045" s="22">
        <v>760</v>
      </c>
      <c r="I1045" s="22">
        <f>Table1[[#This Row],[Total Weight Imported (lbs)]]*0.453592</f>
        <v>344.72991999999999</v>
      </c>
      <c r="J1045" s="23">
        <v>490</v>
      </c>
      <c r="K1045" s="1"/>
    </row>
    <row r="1046" spans="1:11" ht="15.75" customHeight="1">
      <c r="A1046" s="27" t="s">
        <v>262</v>
      </c>
      <c r="B1046" s="27" t="s">
        <v>28</v>
      </c>
      <c r="C1046" s="27" t="s">
        <v>14</v>
      </c>
      <c r="D1046" s="20" t="str">
        <f>VLOOKUP(Table1[[#This Row],[Point of Origin]],Table2[#All],2,0)</f>
        <v>USA</v>
      </c>
      <c r="E1046" s="20" t="str">
        <f>VLOOKUP(Table1[[#This Row],[Point of Origin]],Table2[#All],3,0)</f>
        <v>Domestic</v>
      </c>
      <c r="F1046" s="27" t="s">
        <v>158</v>
      </c>
      <c r="G1046" s="21" t="s">
        <v>127</v>
      </c>
      <c r="H1046" s="22">
        <v>400</v>
      </c>
      <c r="I1046" s="22">
        <f>Table1[[#This Row],[Total Weight Imported (lbs)]]*0.453592</f>
        <v>181.43680000000001</v>
      </c>
      <c r="J1046" s="23">
        <v>360</v>
      </c>
      <c r="K1046" s="41"/>
    </row>
    <row r="1047" spans="1:11" ht="15.75" customHeight="1">
      <c r="A1047" s="27" t="s">
        <v>262</v>
      </c>
      <c r="B1047" s="27" t="s">
        <v>28</v>
      </c>
      <c r="C1047" s="27" t="s">
        <v>14</v>
      </c>
      <c r="D1047" s="20" t="str">
        <f>VLOOKUP(Table1[[#This Row],[Point of Origin]],Table2[#All],2,0)</f>
        <v>USA</v>
      </c>
      <c r="E1047" s="20" t="str">
        <f>VLOOKUP(Table1[[#This Row],[Point of Origin]],Table2[#All],3,0)</f>
        <v>Domestic</v>
      </c>
      <c r="F1047" s="27" t="s">
        <v>161</v>
      </c>
      <c r="G1047" s="21" t="s">
        <v>162</v>
      </c>
      <c r="H1047" s="22">
        <v>300</v>
      </c>
      <c r="I1047" s="22">
        <f>Table1[[#This Row],[Total Weight Imported (lbs)]]*0.453592</f>
        <v>136.07759999999999</v>
      </c>
      <c r="J1047" s="23">
        <v>212.5</v>
      </c>
      <c r="K1047" s="41"/>
    </row>
    <row r="1048" spans="1:11" ht="15.75" customHeight="1">
      <c r="A1048" s="27" t="s">
        <v>262</v>
      </c>
      <c r="B1048" s="27" t="s">
        <v>28</v>
      </c>
      <c r="C1048" s="27" t="s">
        <v>14</v>
      </c>
      <c r="D1048" s="20" t="str">
        <f>VLOOKUP(Table1[[#This Row],[Point of Origin]],Table2[#All],2,0)</f>
        <v>USA</v>
      </c>
      <c r="E1048" s="20" t="str">
        <f>VLOOKUP(Table1[[#This Row],[Point of Origin]],Table2[#All],3,0)</f>
        <v>Domestic</v>
      </c>
      <c r="F1048" s="20" t="s">
        <v>36</v>
      </c>
      <c r="G1048" s="21" t="s">
        <v>37</v>
      </c>
      <c r="H1048" s="22">
        <v>483</v>
      </c>
      <c r="I1048" s="22">
        <f>Table1[[#This Row],[Total Weight Imported (lbs)]]*0.453592</f>
        <v>219.084936</v>
      </c>
      <c r="J1048" s="23">
        <v>1449</v>
      </c>
      <c r="K1048" s="1"/>
    </row>
    <row r="1049" spans="1:11" ht="15.75" customHeight="1">
      <c r="A1049" s="27" t="s">
        <v>262</v>
      </c>
      <c r="B1049" s="27" t="s">
        <v>28</v>
      </c>
      <c r="C1049" s="27" t="s">
        <v>14</v>
      </c>
      <c r="D1049" s="20" t="str">
        <f>VLOOKUP(Table1[[#This Row],[Point of Origin]],Table2[#All],2,0)</f>
        <v>USA</v>
      </c>
      <c r="E1049" s="20" t="str">
        <f>VLOOKUP(Table1[[#This Row],[Point of Origin]],Table2[#All],3,0)</f>
        <v>Domestic</v>
      </c>
      <c r="F1049" s="27" t="s">
        <v>58</v>
      </c>
      <c r="G1049" s="21" t="s">
        <v>34</v>
      </c>
      <c r="H1049" s="22">
        <f>660+23</f>
        <v>683</v>
      </c>
      <c r="I1049" s="22">
        <f>Table1[[#This Row],[Total Weight Imported (lbs)]]*0.453592</f>
        <v>309.803336</v>
      </c>
      <c r="J1049" s="23">
        <f>1320+26</f>
        <v>1346</v>
      </c>
      <c r="K1049" s="1"/>
    </row>
    <row r="1050" spans="1:11" ht="15.75" customHeight="1">
      <c r="A1050" s="27" t="s">
        <v>262</v>
      </c>
      <c r="B1050" s="27" t="s">
        <v>28</v>
      </c>
      <c r="C1050" s="27" t="s">
        <v>14</v>
      </c>
      <c r="D1050" s="20" t="str">
        <f>VLOOKUP(Table1[[#This Row],[Point of Origin]],Table2[#All],2,0)</f>
        <v>USA</v>
      </c>
      <c r="E1050" s="20" t="str">
        <f>VLOOKUP(Table1[[#This Row],[Point of Origin]],Table2[#All],3,0)</f>
        <v>Domestic</v>
      </c>
      <c r="F1050" s="20" t="s">
        <v>76</v>
      </c>
      <c r="G1050" s="21" t="s">
        <v>77</v>
      </c>
      <c r="H1050" s="22">
        <v>75</v>
      </c>
      <c r="I1050" s="22">
        <f>Table1[[#This Row],[Total Weight Imported (lbs)]]*0.453592</f>
        <v>34.019399999999997</v>
      </c>
      <c r="J1050" s="23">
        <v>115.5</v>
      </c>
      <c r="K1050" s="1"/>
    </row>
    <row r="1051" spans="1:11" ht="15.75" customHeight="1">
      <c r="A1051" s="27" t="s">
        <v>262</v>
      </c>
      <c r="B1051" s="27" t="s">
        <v>28</v>
      </c>
      <c r="C1051" s="27" t="s">
        <v>14</v>
      </c>
      <c r="D1051" s="20" t="str">
        <f>VLOOKUP(Table1[[#This Row],[Point of Origin]],Table2[#All],2,0)</f>
        <v>USA</v>
      </c>
      <c r="E1051" s="20" t="str">
        <f>VLOOKUP(Table1[[#This Row],[Point of Origin]],Table2[#All],3,0)</f>
        <v>Domestic</v>
      </c>
      <c r="F1051" s="20" t="s">
        <v>43</v>
      </c>
      <c r="G1051" s="21" t="s">
        <v>44</v>
      </c>
      <c r="H1051" s="22">
        <v>80</v>
      </c>
      <c r="I1051" s="22">
        <f>Table1[[#This Row],[Total Weight Imported (lbs)]]*0.453592</f>
        <v>36.28736</v>
      </c>
      <c r="J1051" s="23">
        <v>108</v>
      </c>
      <c r="K1051" s="41"/>
    </row>
    <row r="1052" spans="1:11" ht="15.75" customHeight="1">
      <c r="A1052" s="27" t="s">
        <v>262</v>
      </c>
      <c r="B1052" s="27" t="s">
        <v>28</v>
      </c>
      <c r="C1052" s="27" t="s">
        <v>14</v>
      </c>
      <c r="D1052" s="20" t="str">
        <f>VLOOKUP(Table1[[#This Row],[Point of Origin]],Table2[#All],2,0)</f>
        <v>USA</v>
      </c>
      <c r="E1052" s="20" t="str">
        <f>VLOOKUP(Table1[[#This Row],[Point of Origin]],Table2[#All],3,0)</f>
        <v>Domestic</v>
      </c>
      <c r="F1052" s="27" t="s">
        <v>102</v>
      </c>
      <c r="G1052" s="21" t="s">
        <v>32</v>
      </c>
      <c r="H1052" s="22">
        <v>24</v>
      </c>
      <c r="I1052" s="22">
        <f>Table1[[#This Row],[Total Weight Imported (lbs)]]*0.453592</f>
        <v>10.886208</v>
      </c>
      <c r="J1052" s="23">
        <v>45</v>
      </c>
      <c r="K1052" s="41"/>
    </row>
    <row r="1053" spans="1:11" ht="15.75" customHeight="1">
      <c r="A1053" s="27" t="s">
        <v>262</v>
      </c>
      <c r="B1053" s="27" t="s">
        <v>28</v>
      </c>
      <c r="C1053" s="27" t="s">
        <v>14</v>
      </c>
      <c r="D1053" s="20" t="str">
        <f>VLOOKUP(Table1[[#This Row],[Point of Origin]],Table2[#All],2,0)</f>
        <v>USA</v>
      </c>
      <c r="E1053" s="20" t="str">
        <f>VLOOKUP(Table1[[#This Row],[Point of Origin]],Table2[#All],3,0)</f>
        <v>Domestic</v>
      </c>
      <c r="F1053" s="20" t="s">
        <v>154</v>
      </c>
      <c r="G1053" s="21" t="s">
        <v>155</v>
      </c>
      <c r="H1053" s="22">
        <v>80</v>
      </c>
      <c r="I1053" s="22">
        <f>Table1[[#This Row],[Total Weight Imported (lbs)]]*0.453592</f>
        <v>36.28736</v>
      </c>
      <c r="J1053" s="23">
        <v>75</v>
      </c>
      <c r="K1053" s="1"/>
    </row>
    <row r="1054" spans="1:11" ht="15.75" customHeight="1">
      <c r="A1054" s="27" t="s">
        <v>262</v>
      </c>
      <c r="B1054" s="27" t="s">
        <v>28</v>
      </c>
      <c r="C1054" s="27" t="s">
        <v>14</v>
      </c>
      <c r="D1054" s="20" t="str">
        <f>VLOOKUP(Table1[[#This Row],[Point of Origin]],Table2[#All],2,0)</f>
        <v>USA</v>
      </c>
      <c r="E1054" s="20" t="str">
        <f>VLOOKUP(Table1[[#This Row],[Point of Origin]],Table2[#All],3,0)</f>
        <v>Domestic</v>
      </c>
      <c r="F1054" s="20" t="s">
        <v>61</v>
      </c>
      <c r="G1054" s="21" t="s">
        <v>62</v>
      </c>
      <c r="H1054" s="22">
        <f>700</f>
        <v>700</v>
      </c>
      <c r="I1054" s="22">
        <f>Table1[[#This Row],[Total Weight Imported (lbs)]]*0.453592</f>
        <v>317.51440000000002</v>
      </c>
      <c r="J1054" s="23">
        <v>802</v>
      </c>
      <c r="K1054" s="41"/>
    </row>
    <row r="1055" spans="1:11" ht="15.75" customHeight="1">
      <c r="A1055" s="27" t="s">
        <v>262</v>
      </c>
      <c r="B1055" s="27" t="s">
        <v>28</v>
      </c>
      <c r="C1055" s="27" t="s">
        <v>14</v>
      </c>
      <c r="D1055" s="20" t="str">
        <f>VLOOKUP(Table1[[#This Row],[Point of Origin]],Table2[#All],2,0)</f>
        <v>USA</v>
      </c>
      <c r="E1055" s="20" t="str">
        <f>VLOOKUP(Table1[[#This Row],[Point of Origin]],Table2[#All],3,0)</f>
        <v>Domestic</v>
      </c>
      <c r="F1055" s="27" t="s">
        <v>159</v>
      </c>
      <c r="G1055" s="21" t="s">
        <v>160</v>
      </c>
      <c r="H1055" s="22">
        <v>25</v>
      </c>
      <c r="I1055" s="22">
        <f>Table1[[#This Row],[Total Weight Imported (lbs)]]*0.453592</f>
        <v>11.3398</v>
      </c>
      <c r="J1055" s="23">
        <v>24</v>
      </c>
      <c r="K1055" s="1"/>
    </row>
    <row r="1056" spans="1:11" ht="15.75" customHeight="1">
      <c r="A1056" s="27" t="s">
        <v>262</v>
      </c>
      <c r="B1056" s="27" t="s">
        <v>28</v>
      </c>
      <c r="C1056" s="27" t="s">
        <v>14</v>
      </c>
      <c r="D1056" s="20" t="str">
        <f>VLOOKUP(Table1[[#This Row],[Point of Origin]],Table2[#All],2,0)</f>
        <v>USA</v>
      </c>
      <c r="E1056" s="20" t="str">
        <f>VLOOKUP(Table1[[#This Row],[Point of Origin]],Table2[#All],3,0)</f>
        <v>Domestic</v>
      </c>
      <c r="F1056" s="27" t="s">
        <v>141</v>
      </c>
      <c r="G1056" s="21" t="s">
        <v>142</v>
      </c>
      <c r="H1056" s="22">
        <f>800</f>
        <v>800</v>
      </c>
      <c r="I1056" s="22">
        <f>Table1[[#This Row],[Total Weight Imported (lbs)]]*0.453592</f>
        <v>362.87360000000001</v>
      </c>
      <c r="J1056" s="23">
        <f>308</f>
        <v>308</v>
      </c>
      <c r="K1056" s="41"/>
    </row>
    <row r="1057" spans="1:11" ht="15.75" customHeight="1">
      <c r="A1057" s="27" t="s">
        <v>262</v>
      </c>
      <c r="B1057" s="27" t="s">
        <v>28</v>
      </c>
      <c r="C1057" s="27" t="s">
        <v>14</v>
      </c>
      <c r="D1057" s="20" t="str">
        <f>VLOOKUP(Table1[[#This Row],[Point of Origin]],Table2[#All],2,0)</f>
        <v>USA</v>
      </c>
      <c r="E1057" s="20" t="str">
        <f>VLOOKUP(Table1[[#This Row],[Point of Origin]],Table2[#All],3,0)</f>
        <v>Domestic</v>
      </c>
      <c r="F1057" s="20" t="s">
        <v>54</v>
      </c>
      <c r="G1057" s="21" t="s">
        <v>30</v>
      </c>
      <c r="H1057" s="22">
        <f>75+22+25</f>
        <v>122</v>
      </c>
      <c r="I1057" s="22">
        <f>Table1[[#This Row],[Total Weight Imported (lbs)]]*0.453592</f>
        <v>55.338223999999997</v>
      </c>
      <c r="J1057" s="23">
        <f>133.5+51.22+37.8</f>
        <v>222.51999999999998</v>
      </c>
      <c r="K1057" s="41"/>
    </row>
    <row r="1058" spans="1:11" ht="15.75" customHeight="1">
      <c r="A1058" s="27" t="s">
        <v>262</v>
      </c>
      <c r="B1058" s="27" t="s">
        <v>28</v>
      </c>
      <c r="C1058" s="27" t="s">
        <v>14</v>
      </c>
      <c r="D1058" s="20" t="str">
        <f>VLOOKUP(Table1[[#This Row],[Point of Origin]],Table2[#All],2,0)</f>
        <v>USA</v>
      </c>
      <c r="E1058" s="20" t="str">
        <f>VLOOKUP(Table1[[#This Row],[Point of Origin]],Table2[#All],3,0)</f>
        <v>Domestic</v>
      </c>
      <c r="F1058" s="20" t="s">
        <v>63</v>
      </c>
      <c r="G1058" s="21" t="s">
        <v>64</v>
      </c>
      <c r="H1058" s="22">
        <f>36+72+48</f>
        <v>156</v>
      </c>
      <c r="I1058" s="22">
        <f>Table1[[#This Row],[Total Weight Imported (lbs)]]*0.453592</f>
        <v>70.760351999999997</v>
      </c>
      <c r="J1058" s="23">
        <f>23.5+38+36</f>
        <v>97.5</v>
      </c>
      <c r="K1058" s="1"/>
    </row>
    <row r="1059" spans="1:11" ht="15.75" customHeight="1">
      <c r="A1059" s="27" t="s">
        <v>262</v>
      </c>
      <c r="B1059" s="27" t="s">
        <v>28</v>
      </c>
      <c r="C1059" s="27" t="s">
        <v>14</v>
      </c>
      <c r="D1059" s="20" t="str">
        <f>VLOOKUP(Table1[[#This Row],[Point of Origin]],Table2[#All],2,0)</f>
        <v>USA</v>
      </c>
      <c r="E1059" s="20" t="str">
        <f>VLOOKUP(Table1[[#This Row],[Point of Origin]],Table2[#All],3,0)</f>
        <v>Domestic</v>
      </c>
      <c r="F1059" s="20" t="s">
        <v>128</v>
      </c>
      <c r="G1059" s="21" t="s">
        <v>129</v>
      </c>
      <c r="H1059" s="22">
        <f>40+80+78</f>
        <v>198</v>
      </c>
      <c r="I1059" s="22">
        <f>Table1[[#This Row],[Total Weight Imported (lbs)]]*0.453592</f>
        <v>89.811216000000002</v>
      </c>
      <c r="J1059" s="23">
        <f>44.5+60+130.5</f>
        <v>235</v>
      </c>
      <c r="K1059" s="41"/>
    </row>
    <row r="1060" spans="1:11" ht="15.75" customHeight="1">
      <c r="A1060" s="27" t="s">
        <v>262</v>
      </c>
      <c r="B1060" s="27" t="s">
        <v>28</v>
      </c>
      <c r="C1060" s="27" t="s">
        <v>14</v>
      </c>
      <c r="D1060" s="20" t="str">
        <f>VLOOKUP(Table1[[#This Row],[Point of Origin]],Table2[#All],2,0)</f>
        <v>USA</v>
      </c>
      <c r="E1060" s="20" t="str">
        <f>VLOOKUP(Table1[[#This Row],[Point of Origin]],Table2[#All],3,0)</f>
        <v>Domestic</v>
      </c>
      <c r="F1060" s="20" t="s">
        <v>38</v>
      </c>
      <c r="G1060" s="21" t="s">
        <v>39</v>
      </c>
      <c r="H1060" s="22">
        <f>780+15+135+360</f>
        <v>1290</v>
      </c>
      <c r="I1060" s="22">
        <f>Table1[[#This Row],[Total Weight Imported (lbs)]]*0.453592</f>
        <v>585.13368000000003</v>
      </c>
      <c r="J1060" s="23">
        <f>51+810+22.5+220.5+324</f>
        <v>1428</v>
      </c>
      <c r="K1060" s="1"/>
    </row>
    <row r="1061" spans="1:11" ht="15.75" customHeight="1">
      <c r="A1061" s="28" t="s">
        <v>263</v>
      </c>
      <c r="B1061" s="28" t="s">
        <v>28</v>
      </c>
      <c r="C1061" s="28" t="s">
        <v>14</v>
      </c>
      <c r="D1061" s="28" t="str">
        <f>VLOOKUP(Table1[[#This Row],[Point of Origin]],Table2[#All],2,0)</f>
        <v>USA</v>
      </c>
      <c r="E1061" s="28" t="str">
        <f>VLOOKUP(Table1[[#This Row],[Point of Origin]],Table2[#All],3,0)</f>
        <v>Domestic</v>
      </c>
      <c r="F1061" s="36" t="s">
        <v>71</v>
      </c>
      <c r="G1061" s="21" t="s">
        <v>72</v>
      </c>
      <c r="H1061" s="22">
        <f>900+342+5544</f>
        <v>6786</v>
      </c>
      <c r="I1061" s="22">
        <f>Table1[[#This Row],[Total Weight Imported (lbs)]]*0.453592</f>
        <v>3078.0753119999999</v>
      </c>
      <c r="J1061" s="23">
        <f>2250+855+14593.04</f>
        <v>17698.04</v>
      </c>
      <c r="K1061" s="41"/>
    </row>
    <row r="1062" spans="1:11" ht="15.75" customHeight="1">
      <c r="A1062" s="28" t="s">
        <v>263</v>
      </c>
      <c r="B1062" s="28" t="s">
        <v>28</v>
      </c>
      <c r="C1062" s="28" t="s">
        <v>14</v>
      </c>
      <c r="D1062" s="28" t="str">
        <f>VLOOKUP(Table1[[#This Row],[Point of Origin]],Table2[#All],2,0)</f>
        <v>USA</v>
      </c>
      <c r="E1062" s="28" t="str">
        <f>VLOOKUP(Table1[[#This Row],[Point of Origin]],Table2[#All],3,0)</f>
        <v>Domestic</v>
      </c>
      <c r="F1062" s="36" t="s">
        <v>71</v>
      </c>
      <c r="G1062" s="21" t="s">
        <v>72</v>
      </c>
      <c r="H1062" s="22">
        <f>3834</f>
        <v>3834</v>
      </c>
      <c r="I1062" s="22">
        <f>Table1[[#This Row],[Total Weight Imported (lbs)]]*0.453592</f>
        <v>1739.0717279999999</v>
      </c>
      <c r="J1062" s="23">
        <f>10624.44</f>
        <v>10624.44</v>
      </c>
      <c r="K1062" s="41"/>
    </row>
    <row r="1063" spans="1:11" ht="15.75" customHeight="1">
      <c r="A1063" s="28" t="s">
        <v>263</v>
      </c>
      <c r="B1063" s="28" t="s">
        <v>28</v>
      </c>
      <c r="C1063" s="28" t="s">
        <v>14</v>
      </c>
      <c r="D1063" s="28" t="str">
        <f>VLOOKUP(Table1[[#This Row],[Point of Origin]],Table2[#All],2,0)</f>
        <v>USA</v>
      </c>
      <c r="E1063" s="28" t="str">
        <f>VLOOKUP(Table1[[#This Row],[Point of Origin]],Table2[#All],3,0)</f>
        <v>Domestic</v>
      </c>
      <c r="F1063" s="28" t="s">
        <v>143</v>
      </c>
      <c r="G1063" s="21" t="s">
        <v>144</v>
      </c>
      <c r="H1063" s="22">
        <f>1575</f>
        <v>1575</v>
      </c>
      <c r="I1063" s="22">
        <f>Table1[[#This Row],[Total Weight Imported (lbs)]]*0.453592</f>
        <v>714.40739999999994</v>
      </c>
      <c r="J1063" s="23">
        <f>1827</f>
        <v>1827</v>
      </c>
      <c r="K1063" s="41"/>
    </row>
    <row r="1064" spans="1:11" ht="15.75" customHeight="1">
      <c r="A1064" s="28" t="s">
        <v>263</v>
      </c>
      <c r="B1064" s="28" t="s">
        <v>28</v>
      </c>
      <c r="C1064" s="28" t="s">
        <v>14</v>
      </c>
      <c r="D1064" s="28" t="str">
        <f>VLOOKUP(Table1[[#This Row],[Point of Origin]],Table2[#All],2,0)</f>
        <v>USA</v>
      </c>
      <c r="E1064" s="28" t="str">
        <f>VLOOKUP(Table1[[#This Row],[Point of Origin]],Table2[#All],3,0)</f>
        <v>Domestic</v>
      </c>
      <c r="F1064" s="36" t="s">
        <v>139</v>
      </c>
      <c r="G1064" s="21" t="s">
        <v>140</v>
      </c>
      <c r="H1064" s="22">
        <v>640</v>
      </c>
      <c r="I1064" s="22">
        <f>Table1[[#This Row],[Total Weight Imported (lbs)]]*0.453592</f>
        <v>290.29888</v>
      </c>
      <c r="J1064" s="23">
        <v>1360</v>
      </c>
      <c r="K1064" s="41"/>
    </row>
    <row r="1065" spans="1:11" ht="15.75" customHeight="1">
      <c r="A1065" s="28" t="s">
        <v>263</v>
      </c>
      <c r="B1065" s="28" t="s">
        <v>28</v>
      </c>
      <c r="C1065" s="28" t="s">
        <v>14</v>
      </c>
      <c r="D1065" s="28" t="str">
        <f>VLOOKUP(Table1[[#This Row],[Point of Origin]],Table2[#All],2,0)</f>
        <v>USA</v>
      </c>
      <c r="E1065" s="28" t="str">
        <f>VLOOKUP(Table1[[#This Row],[Point of Origin]],Table2[#All],3,0)</f>
        <v>Domestic</v>
      </c>
      <c r="F1065" s="36" t="s">
        <v>137</v>
      </c>
      <c r="G1065" s="21" t="s">
        <v>138</v>
      </c>
      <c r="H1065" s="22">
        <f>3840+720</f>
        <v>4560</v>
      </c>
      <c r="I1065" s="22">
        <f>Table1[[#This Row],[Total Weight Imported (lbs)]]*0.453592</f>
        <v>2068.37952</v>
      </c>
      <c r="J1065" s="23">
        <f>3672+765</f>
        <v>4437</v>
      </c>
      <c r="K1065" s="1"/>
    </row>
    <row r="1066" spans="1:11" ht="15.75" customHeight="1">
      <c r="A1066" s="28" t="s">
        <v>263</v>
      </c>
      <c r="B1066" s="28" t="s">
        <v>28</v>
      </c>
      <c r="C1066" s="28" t="s">
        <v>14</v>
      </c>
      <c r="D1066" s="28" t="str">
        <f>VLOOKUP(Table1[[#This Row],[Point of Origin]],Table2[#All],2,0)</f>
        <v>USA</v>
      </c>
      <c r="E1066" s="28" t="str">
        <f>VLOOKUP(Table1[[#This Row],[Point of Origin]],Table2[#All],3,0)</f>
        <v>Domestic</v>
      </c>
      <c r="F1066" s="28" t="s">
        <v>130</v>
      </c>
      <c r="G1066" s="21" t="s">
        <v>131</v>
      </c>
      <c r="H1066" s="22">
        <f>7200</f>
        <v>7200</v>
      </c>
      <c r="I1066" s="22">
        <f>Table1[[#This Row],[Total Weight Imported (lbs)]]*0.453592</f>
        <v>3265.8624</v>
      </c>
      <c r="J1066" s="23">
        <f>11560.8</f>
        <v>11560.8</v>
      </c>
      <c r="K1066" s="1"/>
    </row>
    <row r="1067" spans="1:11" ht="15.75" customHeight="1">
      <c r="A1067" s="28" t="s">
        <v>263</v>
      </c>
      <c r="B1067" s="28" t="s">
        <v>28</v>
      </c>
      <c r="C1067" s="28" t="s">
        <v>14</v>
      </c>
      <c r="D1067" s="28" t="str">
        <f>VLOOKUP(Table1[[#This Row],[Point of Origin]],Table2[#All],2,0)</f>
        <v>USA</v>
      </c>
      <c r="E1067" s="28" t="str">
        <f>VLOOKUP(Table1[[#This Row],[Point of Origin]],Table2[#All],3,0)</f>
        <v>Domestic</v>
      </c>
      <c r="F1067" s="36" t="s">
        <v>158</v>
      </c>
      <c r="G1067" s="21" t="s">
        <v>127</v>
      </c>
      <c r="H1067" s="22">
        <f>4400</f>
        <v>4400</v>
      </c>
      <c r="I1067" s="22">
        <f>Table1[[#This Row],[Total Weight Imported (lbs)]]*0.453592</f>
        <v>1995.8047999999999</v>
      </c>
      <c r="J1067" s="23">
        <f>2789.6</f>
        <v>2789.6</v>
      </c>
      <c r="K1067" s="41"/>
    </row>
    <row r="1068" spans="1:11" ht="15.75" customHeight="1">
      <c r="A1068" s="28" t="s">
        <v>263</v>
      </c>
      <c r="B1068" s="28" t="s">
        <v>28</v>
      </c>
      <c r="C1068" s="28" t="s">
        <v>14</v>
      </c>
      <c r="D1068" s="28" t="str">
        <f>VLOOKUP(Table1[[#This Row],[Point of Origin]],Table2[#All],2,0)</f>
        <v>USA</v>
      </c>
      <c r="E1068" s="28" t="str">
        <f>VLOOKUP(Table1[[#This Row],[Point of Origin]],Table2[#All],3,0)</f>
        <v>Domestic</v>
      </c>
      <c r="F1068" s="28" t="s">
        <v>43</v>
      </c>
      <c r="G1068" s="21" t="s">
        <v>44</v>
      </c>
      <c r="H1068" s="22">
        <f>2520</f>
        <v>2520</v>
      </c>
      <c r="I1068" s="22">
        <f>Table1[[#This Row],[Total Weight Imported (lbs)]]*0.453592</f>
        <v>1143.0518400000001</v>
      </c>
      <c r="J1068" s="23">
        <f>2929.5</f>
        <v>2929.5</v>
      </c>
      <c r="K1068" s="41"/>
    </row>
    <row r="1069" spans="1:11" ht="15.75" customHeight="1">
      <c r="A1069" s="28" t="s">
        <v>263</v>
      </c>
      <c r="B1069" s="28" t="s">
        <v>28</v>
      </c>
      <c r="C1069" s="28" t="s">
        <v>14</v>
      </c>
      <c r="D1069" s="28" t="str">
        <f>VLOOKUP(Table1[[#This Row],[Point of Origin]],Table2[#All],2,0)</f>
        <v>USA</v>
      </c>
      <c r="E1069" s="28" t="str">
        <f>VLOOKUP(Table1[[#This Row],[Point of Origin]],Table2[#All],3,0)</f>
        <v>Domestic</v>
      </c>
      <c r="F1069" s="36" t="s">
        <v>141</v>
      </c>
      <c r="G1069" s="21" t="s">
        <v>142</v>
      </c>
      <c r="H1069" s="22">
        <f>1650+1400+650+1050</f>
        <v>4750</v>
      </c>
      <c r="I1069" s="22">
        <f>Table1[[#This Row],[Total Weight Imported (lbs)]]*0.453592</f>
        <v>2154.5619999999999</v>
      </c>
      <c r="J1069" s="23">
        <f>1063.92+1198.12+705.51+755.58</f>
        <v>3723.13</v>
      </c>
      <c r="K1069" s="41"/>
    </row>
    <row r="1070" spans="1:11" ht="15.75" customHeight="1">
      <c r="A1070" s="27" t="s">
        <v>264</v>
      </c>
      <c r="B1070" s="27" t="s">
        <v>28</v>
      </c>
      <c r="C1070" s="27" t="s">
        <v>14</v>
      </c>
      <c r="D1070" s="20" t="str">
        <f>VLOOKUP(Table1[[#This Row],[Point of Origin]],Table2[#All],2,0)</f>
        <v>USA</v>
      </c>
      <c r="E1070" s="20" t="str">
        <f>VLOOKUP(Table1[[#This Row],[Point of Origin]],Table2[#All],3,0)</f>
        <v>Domestic</v>
      </c>
      <c r="F1070" s="20" t="s">
        <v>67</v>
      </c>
      <c r="G1070" s="21" t="s">
        <v>68</v>
      </c>
      <c r="H1070" s="22">
        <f>1485+81</f>
        <v>1566</v>
      </c>
      <c r="I1070" s="22">
        <f>Table1[[#This Row],[Total Weight Imported (lbs)]]*0.453592</f>
        <v>710.32507199999998</v>
      </c>
      <c r="J1070" s="23">
        <f>2649.35+318.3</f>
        <v>2967.65</v>
      </c>
      <c r="K1070" s="41"/>
    </row>
    <row r="1071" spans="1:11" ht="15.75" customHeight="1">
      <c r="A1071" s="27" t="s">
        <v>264</v>
      </c>
      <c r="B1071" s="27" t="s">
        <v>28</v>
      </c>
      <c r="C1071" s="27" t="s">
        <v>14</v>
      </c>
      <c r="D1071" s="20" t="str">
        <f>VLOOKUP(Table1[[#This Row],[Point of Origin]],Table2[#All],2,0)</f>
        <v>USA</v>
      </c>
      <c r="E1071" s="20" t="str">
        <f>VLOOKUP(Table1[[#This Row],[Point of Origin]],Table2[#All],3,0)</f>
        <v>Domestic</v>
      </c>
      <c r="F1071" s="27" t="s">
        <v>217</v>
      </c>
      <c r="G1071" s="21" t="s">
        <v>202</v>
      </c>
      <c r="H1071" s="22">
        <f>80</f>
        <v>80</v>
      </c>
      <c r="I1071" s="22">
        <f>Table1[[#This Row],[Total Weight Imported (lbs)]]*0.453592</f>
        <v>36.28736</v>
      </c>
      <c r="J1071" s="23">
        <f>109.76</f>
        <v>109.76</v>
      </c>
      <c r="K1071" s="1"/>
    </row>
    <row r="1072" spans="1:11" ht="15.75" customHeight="1">
      <c r="A1072" s="27" t="s">
        <v>264</v>
      </c>
      <c r="B1072" s="27" t="s">
        <v>28</v>
      </c>
      <c r="C1072" s="27" t="s">
        <v>14</v>
      </c>
      <c r="D1072" s="20" t="str">
        <f>VLOOKUP(Table1[[#This Row],[Point of Origin]],Table2[#All],2,0)</f>
        <v>USA</v>
      </c>
      <c r="E1072" s="20" t="str">
        <f>VLOOKUP(Table1[[#This Row],[Point of Origin]],Table2[#All],3,0)</f>
        <v>Domestic</v>
      </c>
      <c r="F1072" s="27" t="s">
        <v>96</v>
      </c>
      <c r="G1072" s="21" t="s">
        <v>97</v>
      </c>
      <c r="H1072" s="22">
        <f>1050+10+150</f>
        <v>1210</v>
      </c>
      <c r="I1072" s="22">
        <f>Table1[[#This Row],[Total Weight Imported (lbs)]]*0.453592</f>
        <v>548.84631999999999</v>
      </c>
      <c r="J1072" s="23">
        <f>4054.75+63.23+511.3</f>
        <v>4629.28</v>
      </c>
      <c r="K1072" s="1"/>
    </row>
    <row r="1073" spans="1:11" ht="15.75" customHeight="1">
      <c r="A1073" s="27" t="s">
        <v>264</v>
      </c>
      <c r="B1073" s="27" t="s">
        <v>28</v>
      </c>
      <c r="C1073" s="27" t="s">
        <v>14</v>
      </c>
      <c r="D1073" s="20" t="str">
        <f>VLOOKUP(Table1[[#This Row],[Point of Origin]],Table2[#All],2,0)</f>
        <v>USA</v>
      </c>
      <c r="E1073" s="20" t="str">
        <f>VLOOKUP(Table1[[#This Row],[Point of Origin]],Table2[#All],3,0)</f>
        <v>Domestic</v>
      </c>
      <c r="F1073" s="20" t="s">
        <v>143</v>
      </c>
      <c r="G1073" s="21" t="s">
        <v>144</v>
      </c>
      <c r="H1073" s="22">
        <f>1520+684</f>
        <v>2204</v>
      </c>
      <c r="I1073" s="22">
        <f>Table1[[#This Row],[Total Weight Imported (lbs)]]*0.453592</f>
        <v>999.716768</v>
      </c>
      <c r="J1073" s="23">
        <f>1440+1064.7</f>
        <v>2504.6999999999998</v>
      </c>
      <c r="K1073" s="41"/>
    </row>
    <row r="1074" spans="1:11" ht="15.75" customHeight="1">
      <c r="A1074" s="27" t="s">
        <v>264</v>
      </c>
      <c r="B1074" s="27" t="s">
        <v>28</v>
      </c>
      <c r="C1074" s="27" t="s">
        <v>14</v>
      </c>
      <c r="D1074" s="20" t="str">
        <f>VLOOKUP(Table1[[#This Row],[Point of Origin]],Table2[#All],2,0)</f>
        <v>USA</v>
      </c>
      <c r="E1074" s="20" t="str">
        <f>VLOOKUP(Table1[[#This Row],[Point of Origin]],Table2[#All],3,0)</f>
        <v>Domestic</v>
      </c>
      <c r="F1074" s="27" t="s">
        <v>139</v>
      </c>
      <c r="G1074" s="21" t="s">
        <v>140</v>
      </c>
      <c r="H1074" s="22">
        <f>96</f>
        <v>96</v>
      </c>
      <c r="I1074" s="22">
        <f>Table1[[#This Row],[Total Weight Imported (lbs)]]*0.453592</f>
        <v>43.544832</v>
      </c>
      <c r="J1074" s="23">
        <f>302.4</f>
        <v>302.39999999999998</v>
      </c>
      <c r="K1074" s="41"/>
    </row>
    <row r="1075" spans="1:11" ht="15.75" customHeight="1">
      <c r="A1075" s="27" t="s">
        <v>264</v>
      </c>
      <c r="B1075" s="27" t="s">
        <v>28</v>
      </c>
      <c r="C1075" s="27" t="s">
        <v>14</v>
      </c>
      <c r="D1075" s="20" t="str">
        <f>VLOOKUP(Table1[[#This Row],[Point of Origin]],Table2[#All],2,0)</f>
        <v>USA</v>
      </c>
      <c r="E1075" s="20" t="str">
        <f>VLOOKUP(Table1[[#This Row],[Point of Origin]],Table2[#All],3,0)</f>
        <v>Domestic</v>
      </c>
      <c r="F1075" s="27" t="s">
        <v>147</v>
      </c>
      <c r="G1075" s="21" t="s">
        <v>138</v>
      </c>
      <c r="H1075" s="22">
        <f>756</f>
        <v>756</v>
      </c>
      <c r="I1075" s="22">
        <f>Table1[[#This Row],[Total Weight Imported (lbs)]]*0.453592</f>
        <v>342.91555199999999</v>
      </c>
      <c r="J1075" s="23">
        <f>601.86</f>
        <v>601.86</v>
      </c>
      <c r="K1075" s="41"/>
    </row>
    <row r="1076" spans="1:11" ht="15.75" customHeight="1">
      <c r="A1076" s="27" t="s">
        <v>264</v>
      </c>
      <c r="B1076" s="27" t="s">
        <v>28</v>
      </c>
      <c r="C1076" s="27" t="s">
        <v>14</v>
      </c>
      <c r="D1076" s="20" t="str">
        <f>VLOOKUP(Table1[[#This Row],[Point of Origin]],Table2[#All],2,0)</f>
        <v>USA</v>
      </c>
      <c r="E1076" s="20" t="str">
        <f>VLOOKUP(Table1[[#This Row],[Point of Origin]],Table2[#All],3,0)</f>
        <v>Domestic</v>
      </c>
      <c r="F1076" s="20" t="s">
        <v>48</v>
      </c>
      <c r="G1076" s="21" t="s">
        <v>49</v>
      </c>
      <c r="H1076" s="22">
        <f>3744</f>
        <v>3744</v>
      </c>
      <c r="I1076" s="22">
        <f>Table1[[#This Row],[Total Weight Imported (lbs)]]*0.453592</f>
        <v>1698.2484480000001</v>
      </c>
      <c r="J1076" s="23">
        <f>9678.24</f>
        <v>9678.24</v>
      </c>
      <c r="K1076" s="41"/>
    </row>
    <row r="1077" spans="1:11" ht="15.75" customHeight="1">
      <c r="A1077" s="27" t="s">
        <v>264</v>
      </c>
      <c r="B1077" s="27" t="s">
        <v>28</v>
      </c>
      <c r="C1077" s="27" t="s">
        <v>14</v>
      </c>
      <c r="D1077" s="20" t="str">
        <f>VLOOKUP(Table1[[#This Row],[Point of Origin]],Table2[#All],2,0)</f>
        <v>USA</v>
      </c>
      <c r="E1077" s="20" t="str">
        <f>VLOOKUP(Table1[[#This Row],[Point of Origin]],Table2[#All],3,0)</f>
        <v>Domestic</v>
      </c>
      <c r="F1077" s="27" t="s">
        <v>157</v>
      </c>
      <c r="G1077" s="21" t="s">
        <v>127</v>
      </c>
      <c r="H1077" s="22">
        <f>7562</f>
        <v>7562</v>
      </c>
      <c r="I1077" s="22">
        <f>Table1[[#This Row],[Total Weight Imported (lbs)]]*0.453592</f>
        <v>3430.0627039999999</v>
      </c>
      <c r="J1077" s="23">
        <f>4368.05</f>
        <v>4368.05</v>
      </c>
      <c r="K1077" s="1"/>
    </row>
    <row r="1078" spans="1:11" ht="15.75" customHeight="1">
      <c r="A1078" s="27" t="s">
        <v>264</v>
      </c>
      <c r="B1078" s="27" t="s">
        <v>28</v>
      </c>
      <c r="C1078" s="27" t="s">
        <v>14</v>
      </c>
      <c r="D1078" s="20" t="str">
        <f>VLOOKUP(Table1[[#This Row],[Point of Origin]],Table2[#All],2,0)</f>
        <v>USA</v>
      </c>
      <c r="E1078" s="20" t="str">
        <f>VLOOKUP(Table1[[#This Row],[Point of Origin]],Table2[#All],3,0)</f>
        <v>Domestic</v>
      </c>
      <c r="F1078" s="27" t="s">
        <v>161</v>
      </c>
      <c r="G1078" s="21" t="s">
        <v>162</v>
      </c>
      <c r="H1078" s="22">
        <f>4500</f>
        <v>4500</v>
      </c>
      <c r="I1078" s="22">
        <f>Table1[[#This Row],[Total Weight Imported (lbs)]]*0.453592</f>
        <v>2041.164</v>
      </c>
      <c r="J1078" s="23">
        <f>1939.02</f>
        <v>1939.02</v>
      </c>
      <c r="K1078" s="41"/>
    </row>
    <row r="1079" spans="1:11" ht="15.75" customHeight="1">
      <c r="A1079" s="27" t="s">
        <v>264</v>
      </c>
      <c r="B1079" s="27" t="s">
        <v>28</v>
      </c>
      <c r="C1079" s="27" t="s">
        <v>14</v>
      </c>
      <c r="D1079" s="20" t="str">
        <f>VLOOKUP(Table1[[#This Row],[Point of Origin]],Table2[#All],2,0)</f>
        <v>USA</v>
      </c>
      <c r="E1079" s="20" t="str">
        <f>VLOOKUP(Table1[[#This Row],[Point of Origin]],Table2[#All],3,0)</f>
        <v>Domestic</v>
      </c>
      <c r="F1079" s="27" t="s">
        <v>191</v>
      </c>
      <c r="G1079" s="21" t="s">
        <v>192</v>
      </c>
      <c r="H1079" s="22">
        <f>72+48</f>
        <v>120</v>
      </c>
      <c r="I1079" s="22">
        <f>Table1[[#This Row],[Total Weight Imported (lbs)]]*0.453592</f>
        <v>54.431039999999996</v>
      </c>
      <c r="J1079" s="23">
        <f>206.7+157.32</f>
        <v>364.02</v>
      </c>
      <c r="K1079" s="1"/>
    </row>
    <row r="1080" spans="1:11" ht="15.75" customHeight="1">
      <c r="A1080" s="27" t="s">
        <v>264</v>
      </c>
      <c r="B1080" s="27" t="s">
        <v>28</v>
      </c>
      <c r="C1080" s="27" t="s">
        <v>14</v>
      </c>
      <c r="D1080" s="20" t="str">
        <f>VLOOKUP(Table1[[#This Row],[Point of Origin]],Table2[#All],2,0)</f>
        <v>USA</v>
      </c>
      <c r="E1080" s="20" t="str">
        <f>VLOOKUP(Table1[[#This Row],[Point of Origin]],Table2[#All],3,0)</f>
        <v>Domestic</v>
      </c>
      <c r="F1080" s="20" t="s">
        <v>43</v>
      </c>
      <c r="G1080" s="21" t="s">
        <v>44</v>
      </c>
      <c r="H1080" s="22">
        <f>2800</f>
        <v>2800</v>
      </c>
      <c r="I1080" s="22">
        <f>Table1[[#This Row],[Total Weight Imported (lbs)]]*0.453592</f>
        <v>1270.0576000000001</v>
      </c>
      <c r="J1080" s="23">
        <f>2774.1</f>
        <v>2774.1</v>
      </c>
      <c r="K1080" s="41"/>
    </row>
    <row r="1081" spans="1:11" ht="15.75" customHeight="1">
      <c r="A1081" s="27" t="s">
        <v>264</v>
      </c>
      <c r="B1081" s="27" t="s">
        <v>28</v>
      </c>
      <c r="C1081" s="27" t="s">
        <v>14</v>
      </c>
      <c r="D1081" s="20" t="str">
        <f>VLOOKUP(Table1[[#This Row],[Point of Origin]],Table2[#All],2,0)</f>
        <v>USA</v>
      </c>
      <c r="E1081" s="20" t="str">
        <f>VLOOKUP(Table1[[#This Row],[Point of Origin]],Table2[#All],3,0)</f>
        <v>Domestic</v>
      </c>
      <c r="F1081" s="27" t="s">
        <v>137</v>
      </c>
      <c r="G1081" s="21" t="s">
        <v>138</v>
      </c>
      <c r="H1081" s="22">
        <f>180</f>
        <v>180</v>
      </c>
      <c r="I1081" s="22">
        <f>Table1[[#This Row],[Total Weight Imported (lbs)]]*0.453592</f>
        <v>81.646559999999994</v>
      </c>
      <c r="J1081" s="23">
        <f>335.35</f>
        <v>335.35</v>
      </c>
      <c r="K1081" s="1"/>
    </row>
    <row r="1082" spans="1:11" ht="15.75" customHeight="1">
      <c r="A1082" s="27" t="s">
        <v>264</v>
      </c>
      <c r="B1082" s="27" t="s">
        <v>28</v>
      </c>
      <c r="C1082" s="27" t="s">
        <v>14</v>
      </c>
      <c r="D1082" s="20" t="str">
        <f>VLOOKUP(Table1[[#This Row],[Point of Origin]],Table2[#All],2,0)</f>
        <v>USA</v>
      </c>
      <c r="E1082" s="20" t="str">
        <f>VLOOKUP(Table1[[#This Row],[Point of Origin]],Table2[#All],3,0)</f>
        <v>Domestic</v>
      </c>
      <c r="F1082" s="20" t="s">
        <v>61</v>
      </c>
      <c r="G1082" s="21" t="s">
        <v>62</v>
      </c>
      <c r="H1082" s="22">
        <f>52</f>
        <v>52</v>
      </c>
      <c r="I1082" s="22">
        <f>Table1[[#This Row],[Total Weight Imported (lbs)]]*0.453592</f>
        <v>23.586784000000002</v>
      </c>
      <c r="J1082" s="23">
        <f>256.08</f>
        <v>256.08</v>
      </c>
      <c r="K1082" s="41"/>
    </row>
    <row r="1083" spans="1:11" ht="15.75" customHeight="1">
      <c r="A1083" s="27" t="s">
        <v>264</v>
      </c>
      <c r="B1083" s="27" t="s">
        <v>28</v>
      </c>
      <c r="C1083" s="27" t="s">
        <v>14</v>
      </c>
      <c r="D1083" s="20" t="str">
        <f>VLOOKUP(Table1[[#This Row],[Point of Origin]],Table2[#All],2,0)</f>
        <v>USA</v>
      </c>
      <c r="E1083" s="20" t="str">
        <f>VLOOKUP(Table1[[#This Row],[Point of Origin]],Table2[#All],3,0)</f>
        <v>Domestic</v>
      </c>
      <c r="F1083" s="27" t="s">
        <v>141</v>
      </c>
      <c r="G1083" s="21" t="s">
        <v>142</v>
      </c>
      <c r="H1083" s="22">
        <f>54+36+36+54+550</f>
        <v>730</v>
      </c>
      <c r="I1083" s="22">
        <f>Table1[[#This Row],[Total Weight Imported (lbs)]]*0.453592</f>
        <v>331.12216000000001</v>
      </c>
      <c r="J1083" s="23">
        <f>148.17+98.78+98.78+148.17+596.97</f>
        <v>1090.8699999999999</v>
      </c>
      <c r="K1083" s="41"/>
    </row>
    <row r="1084" spans="1:11" ht="15.75" customHeight="1">
      <c r="A1084" s="27" t="s">
        <v>264</v>
      </c>
      <c r="B1084" s="27" t="s">
        <v>28</v>
      </c>
      <c r="C1084" s="27" t="s">
        <v>14</v>
      </c>
      <c r="D1084" s="20" t="str">
        <f>VLOOKUP(Table1[[#This Row],[Point of Origin]],Table2[#All],2,0)</f>
        <v>USA</v>
      </c>
      <c r="E1084" s="20" t="str">
        <f>VLOOKUP(Table1[[#This Row],[Point of Origin]],Table2[#All],3,0)</f>
        <v>Domestic</v>
      </c>
      <c r="F1084" s="20" t="s">
        <v>38</v>
      </c>
      <c r="G1084" s="21" t="s">
        <v>39</v>
      </c>
      <c r="H1084" s="22">
        <f>96+72+6+3700+4050+60</f>
        <v>7984</v>
      </c>
      <c r="I1084" s="22">
        <f>Table1[[#This Row],[Total Weight Imported (lbs)]]*0.453592</f>
        <v>3621.4785280000001</v>
      </c>
      <c r="J1084" s="23">
        <f>473.2+354.9+59.15+6677.76+4610.25+184.64</f>
        <v>12359.9</v>
      </c>
      <c r="K1084" s="41"/>
    </row>
    <row r="1085" spans="1:11" ht="15.75" customHeight="1">
      <c r="A1085" s="27" t="s">
        <v>264</v>
      </c>
      <c r="B1085" s="27" t="s">
        <v>28</v>
      </c>
      <c r="C1085" s="27" t="s">
        <v>14</v>
      </c>
      <c r="D1085" s="20" t="str">
        <f>VLOOKUP(Table1[[#This Row],[Point of Origin]],Table2[#All],2,0)</f>
        <v>USA</v>
      </c>
      <c r="E1085" s="20" t="str">
        <f>VLOOKUP(Table1[[#This Row],[Point of Origin]],Table2[#All],3,0)</f>
        <v>Domestic</v>
      </c>
      <c r="F1085" s="20" t="s">
        <v>154</v>
      </c>
      <c r="G1085" s="21" t="s">
        <v>155</v>
      </c>
      <c r="H1085" s="22">
        <f>352</f>
        <v>352</v>
      </c>
      <c r="I1085" s="22">
        <f>Table1[[#This Row],[Total Weight Imported (lbs)]]*0.453592</f>
        <v>159.66438399999998</v>
      </c>
      <c r="J1085" s="23">
        <f>634.08</f>
        <v>634.08000000000004</v>
      </c>
      <c r="K1085" s="1"/>
    </row>
    <row r="1086" spans="1:11" ht="15.75" customHeight="1">
      <c r="A1086" s="27" t="s">
        <v>264</v>
      </c>
      <c r="B1086" s="27" t="s">
        <v>28</v>
      </c>
      <c r="C1086" s="27" t="s">
        <v>14</v>
      </c>
      <c r="D1086" s="20" t="str">
        <f>VLOOKUP(Table1[[#This Row],[Point of Origin]],Table2[#All],2,0)</f>
        <v>USA</v>
      </c>
      <c r="E1086" s="20" t="str">
        <f>VLOOKUP(Table1[[#This Row],[Point of Origin]],Table2[#All],3,0)</f>
        <v>Domestic</v>
      </c>
      <c r="F1086" s="27" t="s">
        <v>173</v>
      </c>
      <c r="G1086" s="21" t="s">
        <v>174</v>
      </c>
      <c r="H1086" s="22">
        <f>891</f>
        <v>891</v>
      </c>
      <c r="I1086" s="22">
        <f>Table1[[#This Row],[Total Weight Imported (lbs)]]*0.453592</f>
        <v>404.15047199999998</v>
      </c>
      <c r="J1086" s="23">
        <f>1569.48</f>
        <v>1569.48</v>
      </c>
      <c r="K1086" s="1"/>
    </row>
    <row r="1087" spans="1:11" ht="15.75" customHeight="1">
      <c r="A1087" s="27" t="s">
        <v>264</v>
      </c>
      <c r="B1087" s="27" t="s">
        <v>28</v>
      </c>
      <c r="C1087" s="27" t="s">
        <v>14</v>
      </c>
      <c r="D1087" s="20" t="str">
        <f>VLOOKUP(Table1[[#This Row],[Point of Origin]],Table2[#All],2,0)</f>
        <v>USA</v>
      </c>
      <c r="E1087" s="20" t="str">
        <f>VLOOKUP(Table1[[#This Row],[Point of Origin]],Table2[#All],3,0)</f>
        <v>Domestic</v>
      </c>
      <c r="F1087" s="20" t="s">
        <v>63</v>
      </c>
      <c r="G1087" s="21" t="s">
        <v>64</v>
      </c>
      <c r="H1087" s="22">
        <f>1008+252</f>
        <v>1260</v>
      </c>
      <c r="I1087" s="22">
        <f>Table1[[#This Row],[Total Weight Imported (lbs)]]*0.453592</f>
        <v>571.52592000000004</v>
      </c>
      <c r="J1087" s="23">
        <f>614.6+164.36</f>
        <v>778.96</v>
      </c>
      <c r="K1087" s="1"/>
    </row>
    <row r="1088" spans="1:11" ht="15.75" customHeight="1">
      <c r="A1088" s="27" t="s">
        <v>264</v>
      </c>
      <c r="B1088" s="27" t="s">
        <v>28</v>
      </c>
      <c r="C1088" s="27" t="s">
        <v>14</v>
      </c>
      <c r="D1088" s="20" t="str">
        <f>VLOOKUP(Table1[[#This Row],[Point of Origin]],Table2[#All],2,0)</f>
        <v>USA</v>
      </c>
      <c r="E1088" s="20" t="str">
        <f>VLOOKUP(Table1[[#This Row],[Point of Origin]],Table2[#All],3,0)</f>
        <v>Domestic</v>
      </c>
      <c r="F1088" s="20" t="s">
        <v>128</v>
      </c>
      <c r="G1088" s="21" t="s">
        <v>129</v>
      </c>
      <c r="H1088" s="22">
        <f>200</f>
        <v>200</v>
      </c>
      <c r="I1088" s="22">
        <f>Table1[[#This Row],[Total Weight Imported (lbs)]]*0.453592</f>
        <v>90.718400000000003</v>
      </c>
      <c r="J1088" s="23">
        <f>152.45</f>
        <v>152.44999999999999</v>
      </c>
      <c r="K1088" s="41"/>
    </row>
    <row r="1089" spans="1:11" ht="15.75" customHeight="1">
      <c r="A1089" s="27" t="s">
        <v>264</v>
      </c>
      <c r="B1089" s="27" t="s">
        <v>28</v>
      </c>
      <c r="C1089" s="27" t="s">
        <v>14</v>
      </c>
      <c r="D1089" s="20" t="str">
        <f>VLOOKUP(Table1[[#This Row],[Point of Origin]],Table2[#All],2,0)</f>
        <v>USA</v>
      </c>
      <c r="E1089" s="20" t="str">
        <f>VLOOKUP(Table1[[#This Row],[Point of Origin]],Table2[#All],3,0)</f>
        <v>Domestic</v>
      </c>
      <c r="F1089" s="27" t="s">
        <v>121</v>
      </c>
      <c r="G1089" s="21" t="s">
        <v>122</v>
      </c>
      <c r="H1089" s="22">
        <f>1440</f>
        <v>1440</v>
      </c>
      <c r="I1089" s="22">
        <f>Table1[[#This Row],[Total Weight Imported (lbs)]]*0.453592</f>
        <v>653.17247999999995</v>
      </c>
      <c r="J1089" s="23">
        <f>2463</f>
        <v>2463</v>
      </c>
      <c r="K1089" s="1"/>
    </row>
    <row r="1090" spans="1:11" ht="15.75" customHeight="1">
      <c r="A1090" s="28" t="s">
        <v>265</v>
      </c>
      <c r="B1090" s="28" t="s">
        <v>28</v>
      </c>
      <c r="C1090" s="28" t="s">
        <v>14</v>
      </c>
      <c r="D1090" s="28" t="str">
        <f>VLOOKUP(Table1[[#This Row],[Point of Origin]],Table2[#All],2,0)</f>
        <v>USA</v>
      </c>
      <c r="E1090" s="28" t="str">
        <f>VLOOKUP(Table1[[#This Row],[Point of Origin]],Table2[#All],3,0)</f>
        <v>Domestic</v>
      </c>
      <c r="F1090" s="28" t="s">
        <v>15</v>
      </c>
      <c r="G1090" s="21" t="s">
        <v>16</v>
      </c>
      <c r="H1090" s="22">
        <f>176</f>
        <v>176</v>
      </c>
      <c r="I1090" s="22">
        <f>Table1[[#This Row],[Total Weight Imported (lbs)]]*0.453592</f>
        <v>79.832191999999992</v>
      </c>
      <c r="J1090" s="23">
        <f>873</f>
        <v>873</v>
      </c>
      <c r="K1090" s="41"/>
    </row>
    <row r="1091" spans="1:11" ht="15.75" customHeight="1">
      <c r="A1091" s="28" t="s">
        <v>265</v>
      </c>
      <c r="B1091" s="28" t="s">
        <v>28</v>
      </c>
      <c r="C1091" s="28" t="s">
        <v>14</v>
      </c>
      <c r="D1091" s="28" t="str">
        <f>VLOOKUP(Table1[[#This Row],[Point of Origin]],Table2[#All],2,0)</f>
        <v>USA</v>
      </c>
      <c r="E1091" s="28" t="str">
        <f>VLOOKUP(Table1[[#This Row],[Point of Origin]],Table2[#All],3,0)</f>
        <v>Domestic</v>
      </c>
      <c r="F1091" s="28" t="s">
        <v>67</v>
      </c>
      <c r="G1091" s="21" t="s">
        <v>68</v>
      </c>
      <c r="H1091" s="22">
        <f>54+756</f>
        <v>810</v>
      </c>
      <c r="I1091" s="22">
        <f>Table1[[#This Row],[Total Weight Imported (lbs)]]*0.453592</f>
        <v>367.40951999999999</v>
      </c>
      <c r="J1091" s="23">
        <f>138+1314.6</f>
        <v>1452.6</v>
      </c>
      <c r="K1091" s="41"/>
    </row>
    <row r="1092" spans="1:11" ht="15.75" customHeight="1">
      <c r="A1092" s="28" t="s">
        <v>265</v>
      </c>
      <c r="B1092" s="28" t="s">
        <v>28</v>
      </c>
      <c r="C1092" s="28" t="s">
        <v>14</v>
      </c>
      <c r="D1092" s="28" t="str">
        <f>VLOOKUP(Table1[[#This Row],[Point of Origin]],Table2[#All],2,0)</f>
        <v>USA</v>
      </c>
      <c r="E1092" s="28" t="str">
        <f>VLOOKUP(Table1[[#This Row],[Point of Origin]],Table2[#All],3,0)</f>
        <v>Domestic</v>
      </c>
      <c r="F1092" s="28" t="s">
        <v>19</v>
      </c>
      <c r="G1092" s="21" t="s">
        <v>20</v>
      </c>
      <c r="H1092" s="22">
        <f>324</f>
        <v>324</v>
      </c>
      <c r="I1092" s="22">
        <f>Table1[[#This Row],[Total Weight Imported (lbs)]]*0.453592</f>
        <v>146.963808</v>
      </c>
      <c r="J1092" s="23">
        <f>504</f>
        <v>504</v>
      </c>
      <c r="K1092" s="41"/>
    </row>
    <row r="1093" spans="1:11" ht="15.75" customHeight="1">
      <c r="A1093" s="28" t="s">
        <v>265</v>
      </c>
      <c r="B1093" s="28" t="s">
        <v>28</v>
      </c>
      <c r="C1093" s="28" t="s">
        <v>14</v>
      </c>
      <c r="D1093" s="28" t="str">
        <f>VLOOKUP(Table1[[#This Row],[Point of Origin]],Table2[#All],2,0)</f>
        <v>USA</v>
      </c>
      <c r="E1093" s="28" t="str">
        <f>VLOOKUP(Table1[[#This Row],[Point of Origin]],Table2[#All],3,0)</f>
        <v>Domestic</v>
      </c>
      <c r="F1093" s="28" t="s">
        <v>21</v>
      </c>
      <c r="G1093" s="21" t="s">
        <v>22</v>
      </c>
      <c r="H1093" s="22">
        <f>75</f>
        <v>75</v>
      </c>
      <c r="I1093" s="22">
        <f>Table1[[#This Row],[Total Weight Imported (lbs)]]*0.453592</f>
        <v>34.019399999999997</v>
      </c>
      <c r="J1093" s="23">
        <f>108</f>
        <v>108</v>
      </c>
      <c r="K1093" s="41"/>
    </row>
    <row r="1094" spans="1:11" ht="15.75" customHeight="1">
      <c r="A1094" s="28" t="s">
        <v>265</v>
      </c>
      <c r="B1094" s="28" t="s">
        <v>28</v>
      </c>
      <c r="C1094" s="28" t="s">
        <v>14</v>
      </c>
      <c r="D1094" s="28" t="str">
        <f>VLOOKUP(Table1[[#This Row],[Point of Origin]],Table2[#All],2,0)</f>
        <v>USA</v>
      </c>
      <c r="E1094" s="28" t="str">
        <f>VLOOKUP(Table1[[#This Row],[Point of Origin]],Table2[#All],3,0)</f>
        <v>Domestic</v>
      </c>
      <c r="F1094" s="28" t="s">
        <v>82</v>
      </c>
      <c r="G1094" s="21" t="s">
        <v>20</v>
      </c>
      <c r="H1094" s="22">
        <f>250+275+112</f>
        <v>637</v>
      </c>
      <c r="I1094" s="22">
        <f>Table1[[#This Row],[Total Weight Imported (lbs)]]*0.453592</f>
        <v>288.93810400000001</v>
      </c>
      <c r="J1094" s="23">
        <f>200+157.5+132</f>
        <v>489.5</v>
      </c>
      <c r="K1094" s="41"/>
    </row>
    <row r="1095" spans="1:11" ht="15.75" customHeight="1">
      <c r="A1095" s="28" t="s">
        <v>265</v>
      </c>
      <c r="B1095" s="28" t="s">
        <v>28</v>
      </c>
      <c r="C1095" s="28" t="s">
        <v>14</v>
      </c>
      <c r="D1095" s="28" t="str">
        <f>VLOOKUP(Table1[[#This Row],[Point of Origin]],Table2[#All],2,0)</f>
        <v>USA</v>
      </c>
      <c r="E1095" s="28" t="str">
        <f>VLOOKUP(Table1[[#This Row],[Point of Origin]],Table2[#All],3,0)</f>
        <v>Domestic</v>
      </c>
      <c r="F1095" s="28" t="s">
        <v>82</v>
      </c>
      <c r="G1095" s="21" t="s">
        <v>20</v>
      </c>
      <c r="H1095" s="22">
        <f>150</f>
        <v>150</v>
      </c>
      <c r="I1095" s="22">
        <f>Table1[[#This Row],[Total Weight Imported (lbs)]]*0.453592</f>
        <v>68.038799999999995</v>
      </c>
      <c r="J1095" s="23">
        <f>84</f>
        <v>84</v>
      </c>
      <c r="K1095" s="41"/>
    </row>
    <row r="1096" spans="1:11" ht="15.75" customHeight="1">
      <c r="A1096" s="28" t="s">
        <v>265</v>
      </c>
      <c r="B1096" s="28" t="s">
        <v>28</v>
      </c>
      <c r="C1096" s="28" t="s">
        <v>14</v>
      </c>
      <c r="D1096" s="28" t="str">
        <f>VLOOKUP(Table1[[#This Row],[Point of Origin]],Table2[#All],2,0)</f>
        <v>USA</v>
      </c>
      <c r="E1096" s="28" t="str">
        <f>VLOOKUP(Table1[[#This Row],[Point of Origin]],Table2[#All],3,0)</f>
        <v>Domestic</v>
      </c>
      <c r="F1096" s="28" t="s">
        <v>40</v>
      </c>
      <c r="G1096" s="21" t="s">
        <v>41</v>
      </c>
      <c r="H1096" s="22">
        <f>75+432+1950+930+96+120</f>
        <v>3603</v>
      </c>
      <c r="I1096" s="22">
        <f>Table1[[#This Row],[Total Weight Imported (lbs)]]*0.453592</f>
        <v>1634.291976</v>
      </c>
      <c r="J1096" s="23">
        <f>45+340.2+1355.64+984.25+79.26+158.52</f>
        <v>2962.8700000000003</v>
      </c>
      <c r="K1096" s="41"/>
    </row>
    <row r="1097" spans="1:11" ht="15.75" customHeight="1">
      <c r="A1097" s="28" t="s">
        <v>265</v>
      </c>
      <c r="B1097" s="28" t="s">
        <v>28</v>
      </c>
      <c r="C1097" s="28" t="s">
        <v>14</v>
      </c>
      <c r="D1097" s="28" t="str">
        <f>VLOOKUP(Table1[[#This Row],[Point of Origin]],Table2[#All],2,0)</f>
        <v>USA</v>
      </c>
      <c r="E1097" s="28" t="str">
        <f>VLOOKUP(Table1[[#This Row],[Point of Origin]],Table2[#All],3,0)</f>
        <v>Domestic</v>
      </c>
      <c r="F1097" s="28" t="s">
        <v>79</v>
      </c>
      <c r="G1097" s="21" t="s">
        <v>80</v>
      </c>
      <c r="H1097" s="22">
        <f>115+18</f>
        <v>133</v>
      </c>
      <c r="I1097" s="22">
        <f>Table1[[#This Row],[Total Weight Imported (lbs)]]*0.453592</f>
        <v>60.327736000000002</v>
      </c>
      <c r="J1097" s="23">
        <f>112.5+39</f>
        <v>151.5</v>
      </c>
      <c r="K1097" s="1"/>
    </row>
    <row r="1098" spans="1:11" ht="15.75" customHeight="1">
      <c r="A1098" s="28" t="s">
        <v>265</v>
      </c>
      <c r="B1098" s="28" t="s">
        <v>28</v>
      </c>
      <c r="C1098" s="28" t="s">
        <v>14</v>
      </c>
      <c r="D1098" s="28" t="str">
        <f>VLOOKUP(Table1[[#This Row],[Point of Origin]],Table2[#All],2,0)</f>
        <v>USA</v>
      </c>
      <c r="E1098" s="28" t="str">
        <f>VLOOKUP(Table1[[#This Row],[Point of Origin]],Table2[#All],3,0)</f>
        <v>Domestic</v>
      </c>
      <c r="F1098" s="36" t="s">
        <v>56</v>
      </c>
      <c r="G1098" s="21" t="s">
        <v>57</v>
      </c>
      <c r="H1098" s="22">
        <f>104</f>
        <v>104</v>
      </c>
      <c r="I1098" s="22">
        <f>Table1[[#This Row],[Total Weight Imported (lbs)]]*0.453592</f>
        <v>47.173568000000003</v>
      </c>
      <c r="J1098" s="23">
        <f>49</f>
        <v>49</v>
      </c>
      <c r="K1098" s="41"/>
    </row>
    <row r="1099" spans="1:11" ht="15.75" customHeight="1">
      <c r="A1099" s="28" t="s">
        <v>265</v>
      </c>
      <c r="B1099" s="28" t="s">
        <v>28</v>
      </c>
      <c r="C1099" s="28" t="s">
        <v>14</v>
      </c>
      <c r="D1099" s="28" t="str">
        <f>VLOOKUP(Table1[[#This Row],[Point of Origin]],Table2[#All],2,0)</f>
        <v>USA</v>
      </c>
      <c r="E1099" s="28" t="str">
        <f>VLOOKUP(Table1[[#This Row],[Point of Origin]],Table2[#All],3,0)</f>
        <v>Domestic</v>
      </c>
      <c r="F1099" s="36" t="s">
        <v>71</v>
      </c>
      <c r="G1099" s="21" t="s">
        <v>72</v>
      </c>
      <c r="H1099" s="22">
        <f>108</f>
        <v>108</v>
      </c>
      <c r="I1099" s="22">
        <f>Table1[[#This Row],[Total Weight Imported (lbs)]]*0.453592</f>
        <v>48.987935999999998</v>
      </c>
      <c r="J1099" s="23">
        <f>246</f>
        <v>246</v>
      </c>
      <c r="K1099" s="41"/>
    </row>
    <row r="1100" spans="1:11" ht="15.75" customHeight="1">
      <c r="A1100" s="28" t="s">
        <v>265</v>
      </c>
      <c r="B1100" s="28" t="s">
        <v>28</v>
      </c>
      <c r="C1100" s="28" t="s">
        <v>14</v>
      </c>
      <c r="D1100" s="28" t="str">
        <f>VLOOKUP(Table1[[#This Row],[Point of Origin]],Table2[#All],2,0)</f>
        <v>USA</v>
      </c>
      <c r="E1100" s="28" t="str">
        <f>VLOOKUP(Table1[[#This Row],[Point of Origin]],Table2[#All],3,0)</f>
        <v>Domestic</v>
      </c>
      <c r="F1100" s="36" t="s">
        <v>71</v>
      </c>
      <c r="G1100" s="21" t="s">
        <v>72</v>
      </c>
      <c r="H1100" s="22">
        <f>144</f>
        <v>144</v>
      </c>
      <c r="I1100" s="22">
        <f>Table1[[#This Row],[Total Weight Imported (lbs)]]*0.453592</f>
        <v>65.317248000000006</v>
      </c>
      <c r="J1100" s="23">
        <f>328</f>
        <v>328</v>
      </c>
      <c r="K1100" s="41"/>
    </row>
    <row r="1101" spans="1:11" ht="15.75" customHeight="1">
      <c r="A1101" s="28" t="s">
        <v>265</v>
      </c>
      <c r="B1101" s="28" t="s">
        <v>28</v>
      </c>
      <c r="C1101" s="28" t="s">
        <v>14</v>
      </c>
      <c r="D1101" s="28" t="str">
        <f>VLOOKUP(Table1[[#This Row],[Point of Origin]],Table2[#All],2,0)</f>
        <v>USA</v>
      </c>
      <c r="E1101" s="28" t="str">
        <f>VLOOKUP(Table1[[#This Row],[Point of Origin]],Table2[#All],3,0)</f>
        <v>Domestic</v>
      </c>
      <c r="F1101" s="36" t="s">
        <v>87</v>
      </c>
      <c r="G1101" s="21" t="s">
        <v>20</v>
      </c>
      <c r="H1101" s="22">
        <f>348</f>
        <v>348</v>
      </c>
      <c r="I1101" s="22">
        <f>Table1[[#This Row],[Total Weight Imported (lbs)]]*0.453592</f>
        <v>157.85001600000001</v>
      </c>
      <c r="J1101" s="23">
        <f>507.5</f>
        <v>507.5</v>
      </c>
      <c r="K1101" s="41"/>
    </row>
    <row r="1102" spans="1:11" ht="15.75" customHeight="1">
      <c r="A1102" s="28" t="s">
        <v>265</v>
      </c>
      <c r="B1102" s="28" t="s">
        <v>28</v>
      </c>
      <c r="C1102" s="28" t="s">
        <v>14</v>
      </c>
      <c r="D1102" s="28" t="str">
        <f>VLOOKUP(Table1[[#This Row],[Point of Origin]],Table2[#All],2,0)</f>
        <v>USA</v>
      </c>
      <c r="E1102" s="28" t="str">
        <f>VLOOKUP(Table1[[#This Row],[Point of Origin]],Table2[#All],3,0)</f>
        <v>Domestic</v>
      </c>
      <c r="F1102" s="36" t="s">
        <v>139</v>
      </c>
      <c r="G1102" s="21" t="s">
        <v>140</v>
      </c>
      <c r="H1102" s="22">
        <f>66</f>
        <v>66</v>
      </c>
      <c r="I1102" s="22">
        <f>Table1[[#This Row],[Total Weight Imported (lbs)]]*0.453592</f>
        <v>29.937072000000001</v>
      </c>
      <c r="J1102" s="23">
        <f>198</f>
        <v>198</v>
      </c>
      <c r="K1102" s="41"/>
    </row>
    <row r="1103" spans="1:11" ht="15.75" customHeight="1">
      <c r="A1103" s="28" t="s">
        <v>265</v>
      </c>
      <c r="B1103" s="28" t="s">
        <v>28</v>
      </c>
      <c r="C1103" s="28" t="s">
        <v>14</v>
      </c>
      <c r="D1103" s="28" t="str">
        <f>VLOOKUP(Table1[[#This Row],[Point of Origin]],Table2[#All],2,0)</f>
        <v>USA</v>
      </c>
      <c r="E1103" s="28" t="str">
        <f>VLOOKUP(Table1[[#This Row],[Point of Origin]],Table2[#All],3,0)</f>
        <v>Domestic</v>
      </c>
      <c r="F1103" s="28" t="s">
        <v>59</v>
      </c>
      <c r="G1103" s="21" t="s">
        <v>60</v>
      </c>
      <c r="H1103" s="22">
        <f>51+836+4100+495</f>
        <v>5482</v>
      </c>
      <c r="I1103" s="22">
        <f>Table1[[#This Row],[Total Weight Imported (lbs)]]*0.453592</f>
        <v>2486.5913439999999</v>
      </c>
      <c r="J1103" s="23">
        <f>70.5+539+4264+367.5</f>
        <v>5241</v>
      </c>
      <c r="K1103" s="41"/>
    </row>
    <row r="1104" spans="1:11" ht="15.75" customHeight="1">
      <c r="A1104" s="28" t="s">
        <v>265</v>
      </c>
      <c r="B1104" s="28" t="s">
        <v>28</v>
      </c>
      <c r="C1104" s="28" t="s">
        <v>14</v>
      </c>
      <c r="D1104" s="28" t="str">
        <f>VLOOKUP(Table1[[#This Row],[Point of Origin]],Table2[#All],2,0)</f>
        <v>USA</v>
      </c>
      <c r="E1104" s="28" t="str">
        <f>VLOOKUP(Table1[[#This Row],[Point of Origin]],Table2[#All],3,0)</f>
        <v>Domestic</v>
      </c>
      <c r="F1104" s="28" t="s">
        <v>59</v>
      </c>
      <c r="G1104" s="21" t="s">
        <v>60</v>
      </c>
      <c r="H1104" s="22">
        <f>102</f>
        <v>102</v>
      </c>
      <c r="I1104" s="22">
        <f>Table1[[#This Row],[Total Weight Imported (lbs)]]*0.453592</f>
        <v>46.266384000000002</v>
      </c>
      <c r="J1104" s="23">
        <f>135</f>
        <v>135</v>
      </c>
      <c r="K1104" s="41"/>
    </row>
    <row r="1105" spans="1:11" ht="15.75" customHeight="1">
      <c r="A1105" s="28" t="s">
        <v>265</v>
      </c>
      <c r="B1105" s="28" t="s">
        <v>28</v>
      </c>
      <c r="C1105" s="28" t="s">
        <v>14</v>
      </c>
      <c r="D1105" s="28" t="str">
        <f>VLOOKUP(Table1[[#This Row],[Point of Origin]],Table2[#All],2,0)</f>
        <v>USA</v>
      </c>
      <c r="E1105" s="28" t="str">
        <f>VLOOKUP(Table1[[#This Row],[Point of Origin]],Table2[#All],3,0)</f>
        <v>Domestic</v>
      </c>
      <c r="F1105" s="36" t="s">
        <v>147</v>
      </c>
      <c r="G1105" s="21" t="s">
        <v>138</v>
      </c>
      <c r="H1105" s="22">
        <f>108+540</f>
        <v>648</v>
      </c>
      <c r="I1105" s="22">
        <f>Table1[[#This Row],[Total Weight Imported (lbs)]]*0.453592</f>
        <v>293.927616</v>
      </c>
      <c r="J1105" s="23">
        <f>199.5+365.85</f>
        <v>565.35</v>
      </c>
      <c r="K1105" s="41"/>
    </row>
    <row r="1106" spans="1:11" ht="15.75" customHeight="1">
      <c r="A1106" s="28" t="s">
        <v>265</v>
      </c>
      <c r="B1106" s="28" t="s">
        <v>28</v>
      </c>
      <c r="C1106" s="28" t="s">
        <v>14</v>
      </c>
      <c r="D1106" s="28" t="str">
        <f>VLOOKUP(Table1[[#This Row],[Point of Origin]],Table2[#All],2,0)</f>
        <v>USA</v>
      </c>
      <c r="E1106" s="28" t="str">
        <f>VLOOKUP(Table1[[#This Row],[Point of Origin]],Table2[#All],3,0)</f>
        <v>Domestic</v>
      </c>
      <c r="F1106" s="28" t="s">
        <v>48</v>
      </c>
      <c r="G1106" s="21" t="s">
        <v>49</v>
      </c>
      <c r="H1106" s="22">
        <f>56</f>
        <v>56</v>
      </c>
      <c r="I1106" s="22">
        <f>Table1[[#This Row],[Total Weight Imported (lbs)]]*0.453592</f>
        <v>25.401152</v>
      </c>
      <c r="J1106" s="23">
        <f>175</f>
        <v>175</v>
      </c>
      <c r="K1106" s="41"/>
    </row>
    <row r="1107" spans="1:11" ht="15.75" customHeight="1">
      <c r="A1107" s="28" t="s">
        <v>265</v>
      </c>
      <c r="B1107" s="28" t="s">
        <v>28</v>
      </c>
      <c r="C1107" s="28" t="s">
        <v>14</v>
      </c>
      <c r="D1107" s="28" t="str">
        <f>VLOOKUP(Table1[[#This Row],[Point of Origin]],Table2[#All],2,0)</f>
        <v>USA</v>
      </c>
      <c r="E1107" s="28" t="str">
        <f>VLOOKUP(Table1[[#This Row],[Point of Origin]],Table2[#All],3,0)</f>
        <v>Domestic</v>
      </c>
      <c r="F1107" s="36" t="s">
        <v>157</v>
      </c>
      <c r="G1107" s="21" t="s">
        <v>127</v>
      </c>
      <c r="H1107" s="22">
        <f>646+4484</f>
        <v>5130</v>
      </c>
      <c r="I1107" s="22">
        <f>Table1[[#This Row],[Total Weight Imported (lbs)]]*0.453592</f>
        <v>2326.9269599999998</v>
      </c>
      <c r="J1107" s="23">
        <f>399.5+3013.72</f>
        <v>3413.22</v>
      </c>
      <c r="K1107" s="41"/>
    </row>
    <row r="1108" spans="1:11" ht="15.75" customHeight="1">
      <c r="A1108" s="28" t="s">
        <v>265</v>
      </c>
      <c r="B1108" s="28" t="s">
        <v>28</v>
      </c>
      <c r="C1108" s="28" t="s">
        <v>14</v>
      </c>
      <c r="D1108" s="28" t="str">
        <f>VLOOKUP(Table1[[#This Row],[Point of Origin]],Table2[#All],2,0)</f>
        <v>USA</v>
      </c>
      <c r="E1108" s="28" t="str">
        <f>VLOOKUP(Table1[[#This Row],[Point of Origin]],Table2[#All],3,0)</f>
        <v>Domestic</v>
      </c>
      <c r="F1108" s="36" t="s">
        <v>158</v>
      </c>
      <c r="G1108" s="21" t="s">
        <v>127</v>
      </c>
      <c r="H1108" s="22">
        <f>325</f>
        <v>325</v>
      </c>
      <c r="I1108" s="22">
        <f>Table1[[#This Row],[Total Weight Imported (lbs)]]*0.453592</f>
        <v>147.41739999999999</v>
      </c>
      <c r="J1108" s="23">
        <f>292.5</f>
        <v>292.5</v>
      </c>
      <c r="K1108" s="41"/>
    </row>
    <row r="1109" spans="1:11" ht="15.75" customHeight="1">
      <c r="A1109" s="28" t="s">
        <v>265</v>
      </c>
      <c r="B1109" s="28" t="s">
        <v>28</v>
      </c>
      <c r="C1109" s="28" t="s">
        <v>14</v>
      </c>
      <c r="D1109" s="28" t="str">
        <f>VLOOKUP(Table1[[#This Row],[Point of Origin]],Table2[#All],2,0)</f>
        <v>USA</v>
      </c>
      <c r="E1109" s="28" t="str">
        <f>VLOOKUP(Table1[[#This Row],[Point of Origin]],Table2[#All],3,0)</f>
        <v>Domestic</v>
      </c>
      <c r="F1109" s="36" t="s">
        <v>161</v>
      </c>
      <c r="G1109" s="21" t="s">
        <v>162</v>
      </c>
      <c r="H1109" s="22">
        <f>300+4500</f>
        <v>4800</v>
      </c>
      <c r="I1109" s="22">
        <f>Table1[[#This Row],[Total Weight Imported (lbs)]]*0.453592</f>
        <v>2177.2415999999998</v>
      </c>
      <c r="J1109" s="23">
        <f>212.5+1609.74</f>
        <v>1822.24</v>
      </c>
      <c r="K1109" s="41"/>
    </row>
    <row r="1110" spans="1:11" ht="15.75" customHeight="1">
      <c r="A1110" s="28" t="s">
        <v>265</v>
      </c>
      <c r="B1110" s="28" t="s">
        <v>28</v>
      </c>
      <c r="C1110" s="28" t="s">
        <v>14</v>
      </c>
      <c r="D1110" s="28" t="str">
        <f>VLOOKUP(Table1[[#This Row],[Point of Origin]],Table2[#All],2,0)</f>
        <v>USA</v>
      </c>
      <c r="E1110" s="28" t="str">
        <f>VLOOKUP(Table1[[#This Row],[Point of Origin]],Table2[#All],3,0)</f>
        <v>Domestic</v>
      </c>
      <c r="F1110" s="28" t="s">
        <v>36</v>
      </c>
      <c r="G1110" s="21" t="s">
        <v>37</v>
      </c>
      <c r="H1110" s="22">
        <f>441</f>
        <v>441</v>
      </c>
      <c r="I1110" s="22">
        <f>Table1[[#This Row],[Total Weight Imported (lbs)]]*0.453592</f>
        <v>200.03407200000001</v>
      </c>
      <c r="J1110" s="23">
        <f>280</f>
        <v>280</v>
      </c>
      <c r="K1110" s="1"/>
    </row>
    <row r="1111" spans="1:11" ht="15.75" customHeight="1">
      <c r="A1111" s="28" t="s">
        <v>265</v>
      </c>
      <c r="B1111" s="28" t="s">
        <v>28</v>
      </c>
      <c r="C1111" s="28" t="s">
        <v>14</v>
      </c>
      <c r="D1111" s="28" t="str">
        <f>VLOOKUP(Table1[[#This Row],[Point of Origin]],Table2[#All],2,0)</f>
        <v>USA</v>
      </c>
      <c r="E1111" s="28" t="str">
        <f>VLOOKUP(Table1[[#This Row],[Point of Origin]],Table2[#All],3,0)</f>
        <v>Domestic</v>
      </c>
      <c r="F1111" s="36" t="s">
        <v>58</v>
      </c>
      <c r="G1111" s="21" t="s">
        <v>34</v>
      </c>
      <c r="H1111" s="22">
        <f>23</f>
        <v>23</v>
      </c>
      <c r="I1111" s="22">
        <f>Table1[[#This Row],[Total Weight Imported (lbs)]]*0.453592</f>
        <v>10.432615999999999</v>
      </c>
      <c r="J1111" s="23">
        <f>26</f>
        <v>26</v>
      </c>
      <c r="K1111" s="1"/>
    </row>
    <row r="1112" spans="1:11" ht="15.75" customHeight="1">
      <c r="A1112" s="28" t="s">
        <v>265</v>
      </c>
      <c r="B1112" s="28" t="s">
        <v>28</v>
      </c>
      <c r="C1112" s="28" t="s">
        <v>14</v>
      </c>
      <c r="D1112" s="28" t="str">
        <f>VLOOKUP(Table1[[#This Row],[Point of Origin]],Table2[#All],2,0)</f>
        <v>USA</v>
      </c>
      <c r="E1112" s="28" t="str">
        <f>VLOOKUP(Table1[[#This Row],[Point of Origin]],Table2[#All],3,0)</f>
        <v>Domestic</v>
      </c>
      <c r="F1112" s="28" t="s">
        <v>76</v>
      </c>
      <c r="G1112" s="21" t="s">
        <v>77</v>
      </c>
      <c r="H1112" s="22">
        <v>75</v>
      </c>
      <c r="I1112" s="22">
        <f>Table1[[#This Row],[Total Weight Imported (lbs)]]*0.453592</f>
        <v>34.019399999999997</v>
      </c>
      <c r="J1112" s="23">
        <v>115.5</v>
      </c>
      <c r="K1112" s="1"/>
    </row>
    <row r="1113" spans="1:11" ht="15.75" customHeight="1">
      <c r="A1113" s="28" t="s">
        <v>265</v>
      </c>
      <c r="B1113" s="28" t="s">
        <v>28</v>
      </c>
      <c r="C1113" s="28" t="s">
        <v>14</v>
      </c>
      <c r="D1113" s="28" t="str">
        <f>VLOOKUP(Table1[[#This Row],[Point of Origin]],Table2[#All],2,0)</f>
        <v>USA</v>
      </c>
      <c r="E1113" s="28" t="str">
        <f>VLOOKUP(Table1[[#This Row],[Point of Origin]],Table2[#All],3,0)</f>
        <v>Domestic</v>
      </c>
      <c r="F1113" s="28" t="s">
        <v>43</v>
      </c>
      <c r="G1113" s="21" t="s">
        <v>44</v>
      </c>
      <c r="H1113" s="22">
        <f>80</f>
        <v>80</v>
      </c>
      <c r="I1113" s="22">
        <f>Table1[[#This Row],[Total Weight Imported (lbs)]]*0.453592</f>
        <v>36.28736</v>
      </c>
      <c r="J1113" s="23">
        <f>108</f>
        <v>108</v>
      </c>
      <c r="K1113" s="41"/>
    </row>
    <row r="1114" spans="1:11" ht="15.75" customHeight="1">
      <c r="A1114" s="28" t="s">
        <v>265</v>
      </c>
      <c r="B1114" s="28" t="s">
        <v>28</v>
      </c>
      <c r="C1114" s="28" t="s">
        <v>14</v>
      </c>
      <c r="D1114" s="28" t="str">
        <f>VLOOKUP(Table1[[#This Row],[Point of Origin]],Table2[#All],2,0)</f>
        <v>USA</v>
      </c>
      <c r="E1114" s="28" t="str">
        <f>VLOOKUP(Table1[[#This Row],[Point of Origin]],Table2[#All],3,0)</f>
        <v>Domestic</v>
      </c>
      <c r="F1114" s="36" t="s">
        <v>102</v>
      </c>
      <c r="G1114" s="21" t="s">
        <v>32</v>
      </c>
      <c r="H1114" s="22">
        <f>12+12</f>
        <v>24</v>
      </c>
      <c r="I1114" s="22">
        <f>Table1[[#This Row],[Total Weight Imported (lbs)]]*0.453592</f>
        <v>10.886208</v>
      </c>
      <c r="J1114" s="23">
        <f>22.5+22.5</f>
        <v>45</v>
      </c>
      <c r="K1114" s="41"/>
    </row>
    <row r="1115" spans="1:11" ht="15.75" customHeight="1">
      <c r="A1115" s="28" t="s">
        <v>265</v>
      </c>
      <c r="B1115" s="28" t="s">
        <v>28</v>
      </c>
      <c r="C1115" s="28" t="s">
        <v>14</v>
      </c>
      <c r="D1115" s="28" t="str">
        <f>VLOOKUP(Table1[[#This Row],[Point of Origin]],Table2[#All],2,0)</f>
        <v>USA</v>
      </c>
      <c r="E1115" s="28" t="str">
        <f>VLOOKUP(Table1[[#This Row],[Point of Origin]],Table2[#All],3,0)</f>
        <v>Domestic</v>
      </c>
      <c r="F1115" s="28" t="s">
        <v>61</v>
      </c>
      <c r="G1115" s="21" t="s">
        <v>62</v>
      </c>
      <c r="H1115" s="22">
        <f>550</f>
        <v>550</v>
      </c>
      <c r="I1115" s="22">
        <f>Table1[[#This Row],[Total Weight Imported (lbs)]]*0.453592</f>
        <v>249.47559999999999</v>
      </c>
      <c r="J1115" s="23">
        <f>635</f>
        <v>635</v>
      </c>
      <c r="K1115" s="41"/>
    </row>
    <row r="1116" spans="1:11" ht="15.75" customHeight="1">
      <c r="A1116" s="28" t="s">
        <v>265</v>
      </c>
      <c r="B1116" s="28" t="s">
        <v>28</v>
      </c>
      <c r="C1116" s="28" t="s">
        <v>14</v>
      </c>
      <c r="D1116" s="28" t="str">
        <f>VLOOKUP(Table1[[#This Row],[Point of Origin]],Table2[#All],2,0)</f>
        <v>USA</v>
      </c>
      <c r="E1116" s="28" t="str">
        <f>VLOOKUP(Table1[[#This Row],[Point of Origin]],Table2[#All],3,0)</f>
        <v>Domestic</v>
      </c>
      <c r="F1116" s="36" t="s">
        <v>141</v>
      </c>
      <c r="G1116" s="21" t="s">
        <v>142</v>
      </c>
      <c r="H1116" s="22">
        <f>800+36+36+54+54+800+300+800+450+600</f>
        <v>3930</v>
      </c>
      <c r="I1116" s="22">
        <f>Table1[[#This Row],[Total Weight Imported (lbs)]]*0.453592</f>
        <v>1782.6165599999999</v>
      </c>
      <c r="J1116" s="23">
        <f>308+98.78+604.8+325.62+729.92+552.42+534.12</f>
        <v>3153.66</v>
      </c>
      <c r="K1116" s="41"/>
    </row>
    <row r="1117" spans="1:11" ht="15.75" customHeight="1">
      <c r="A1117" s="28" t="s">
        <v>265</v>
      </c>
      <c r="B1117" s="28" t="s">
        <v>28</v>
      </c>
      <c r="C1117" s="28" t="s">
        <v>14</v>
      </c>
      <c r="D1117" s="28" t="str">
        <f>VLOOKUP(Table1[[#This Row],[Point of Origin]],Table2[#All],2,0)</f>
        <v>USA</v>
      </c>
      <c r="E1117" s="28" t="str">
        <f>VLOOKUP(Table1[[#This Row],[Point of Origin]],Table2[#All],3,0)</f>
        <v>Domestic</v>
      </c>
      <c r="F1117" s="28" t="s">
        <v>54</v>
      </c>
      <c r="G1117" s="21" t="s">
        <v>30</v>
      </c>
      <c r="H1117" s="22">
        <f>125</f>
        <v>125</v>
      </c>
      <c r="I1117" s="22">
        <f>Table1[[#This Row],[Total Weight Imported (lbs)]]*0.453592</f>
        <v>56.698999999999998</v>
      </c>
      <c r="J1117" s="23">
        <f>222.5</f>
        <v>222.5</v>
      </c>
      <c r="K1117" s="41"/>
    </row>
    <row r="1118" spans="1:11" ht="15.75" customHeight="1">
      <c r="A1118" s="28" t="s">
        <v>265</v>
      </c>
      <c r="B1118" s="28" t="s">
        <v>28</v>
      </c>
      <c r="C1118" s="28" t="s">
        <v>14</v>
      </c>
      <c r="D1118" s="28" t="str">
        <f>VLOOKUP(Table1[[#This Row],[Point of Origin]],Table2[#All],2,0)</f>
        <v>USA</v>
      </c>
      <c r="E1118" s="28" t="str">
        <f>VLOOKUP(Table1[[#This Row],[Point of Origin]],Table2[#All],3,0)</f>
        <v>Domestic</v>
      </c>
      <c r="F1118" s="28" t="s">
        <v>63</v>
      </c>
      <c r="G1118" s="21" t="s">
        <v>64</v>
      </c>
      <c r="H1118" s="22">
        <f>72+72</f>
        <v>144</v>
      </c>
      <c r="I1118" s="22">
        <f>Table1[[#This Row],[Total Weight Imported (lbs)]]*0.453592</f>
        <v>65.317248000000006</v>
      </c>
      <c r="J1118" s="23">
        <f>54+46.96</f>
        <v>100.96000000000001</v>
      </c>
      <c r="K1118" s="1"/>
    </row>
    <row r="1119" spans="1:11" ht="15.75" customHeight="1">
      <c r="A1119" s="28" t="s">
        <v>265</v>
      </c>
      <c r="B1119" s="28" t="s">
        <v>28</v>
      </c>
      <c r="C1119" s="28" t="s">
        <v>14</v>
      </c>
      <c r="D1119" s="28" t="str">
        <f>VLOOKUP(Table1[[#This Row],[Point of Origin]],Table2[#All],2,0)</f>
        <v>USA</v>
      </c>
      <c r="E1119" s="28" t="str">
        <f>VLOOKUP(Table1[[#This Row],[Point of Origin]],Table2[#All],3,0)</f>
        <v>Domestic</v>
      </c>
      <c r="F1119" s="28" t="s">
        <v>38</v>
      </c>
      <c r="G1119" s="21" t="s">
        <v>39</v>
      </c>
      <c r="H1119" s="22">
        <f>730+15+435+60</f>
        <v>1240</v>
      </c>
      <c r="I1119" s="22">
        <f>Table1[[#This Row],[Total Weight Imported (lbs)]]*0.453592</f>
        <v>562.45407999999998</v>
      </c>
      <c r="J1119" s="23">
        <f>51+756+22.5+220.5+270+92.32+92.32</f>
        <v>1504.6399999999999</v>
      </c>
      <c r="K1119" s="41"/>
    </row>
    <row r="1120" spans="1:11" ht="15.75" customHeight="1">
      <c r="A1120" s="28" t="s">
        <v>265</v>
      </c>
      <c r="B1120" s="28" t="s">
        <v>28</v>
      </c>
      <c r="C1120" s="28" t="s">
        <v>14</v>
      </c>
      <c r="D1120" s="28" t="str">
        <f>VLOOKUP(Table1[[#This Row],[Point of Origin]],Table2[#All],2,0)</f>
        <v>USA</v>
      </c>
      <c r="E1120" s="28" t="str">
        <f>VLOOKUP(Table1[[#This Row],[Point of Origin]],Table2[#All],3,0)</f>
        <v>Domestic</v>
      </c>
      <c r="F1120" s="28" t="s">
        <v>143</v>
      </c>
      <c r="G1120" s="21" t="s">
        <v>144</v>
      </c>
      <c r="H1120" s="22">
        <f>1140</f>
        <v>1140</v>
      </c>
      <c r="I1120" s="22">
        <f>Table1[[#This Row],[Total Weight Imported (lbs)]]*0.453592</f>
        <v>517.09487999999999</v>
      </c>
      <c r="J1120" s="23">
        <f>1215</f>
        <v>1215</v>
      </c>
      <c r="K1120" s="41"/>
    </row>
    <row r="1121" spans="1:11" ht="15.75" customHeight="1">
      <c r="A1121" s="28" t="s">
        <v>265</v>
      </c>
      <c r="B1121" s="28" t="s">
        <v>28</v>
      </c>
      <c r="C1121" s="28" t="s">
        <v>14</v>
      </c>
      <c r="D1121" s="28" t="str">
        <f>VLOOKUP(Table1[[#This Row],[Point of Origin]],Table2[#All],2,0)</f>
        <v>USA</v>
      </c>
      <c r="E1121" s="28" t="str">
        <f>VLOOKUP(Table1[[#This Row],[Point of Origin]],Table2[#All],3,0)</f>
        <v>Domestic</v>
      </c>
      <c r="F1121" s="36" t="s">
        <v>191</v>
      </c>
      <c r="G1121" s="21" t="s">
        <v>192</v>
      </c>
      <c r="H1121" s="22">
        <f>250</f>
        <v>250</v>
      </c>
      <c r="I1121" s="22">
        <f>Table1[[#This Row],[Total Weight Imported (lbs)]]*0.453592</f>
        <v>113.398</v>
      </c>
      <c r="J1121" s="23">
        <f>353.65</f>
        <v>353.65</v>
      </c>
      <c r="K1121" s="1"/>
    </row>
    <row r="1122" spans="1:11" ht="15.75" customHeight="1">
      <c r="A1122" s="28" t="s">
        <v>265</v>
      </c>
      <c r="B1122" s="28" t="s">
        <v>28</v>
      </c>
      <c r="C1122" s="28" t="s">
        <v>14</v>
      </c>
      <c r="D1122" s="28" t="str">
        <f>VLOOKUP(Table1[[#This Row],[Point of Origin]],Table2[#All],2,0)</f>
        <v>USA</v>
      </c>
      <c r="E1122" s="28" t="str">
        <f>VLOOKUP(Table1[[#This Row],[Point of Origin]],Table2[#All],3,0)</f>
        <v>Domestic</v>
      </c>
      <c r="F1122" s="36" t="s">
        <v>137</v>
      </c>
      <c r="G1122" s="21" t="s">
        <v>138</v>
      </c>
      <c r="H1122" s="22">
        <f>144</f>
        <v>144</v>
      </c>
      <c r="I1122" s="22">
        <f>Table1[[#This Row],[Total Weight Imported (lbs)]]*0.453592</f>
        <v>65.317248000000006</v>
      </c>
      <c r="J1122" s="23">
        <f>260.96</f>
        <v>260.95999999999998</v>
      </c>
      <c r="K1122" s="1"/>
    </row>
    <row r="1123" spans="1:11" ht="15.75" customHeight="1">
      <c r="A1123" s="27" t="s">
        <v>266</v>
      </c>
      <c r="B1123" s="27" t="s">
        <v>28</v>
      </c>
      <c r="C1123" s="27" t="s">
        <v>14</v>
      </c>
      <c r="D1123" s="20" t="str">
        <f>VLOOKUP(Table1[[#This Row],[Point of Origin]],Table2[#All],2,0)</f>
        <v>USA</v>
      </c>
      <c r="E1123" s="20" t="str">
        <f>VLOOKUP(Table1[[#This Row],[Point of Origin]],Table2[#All],3,0)</f>
        <v>Domestic</v>
      </c>
      <c r="F1123" s="20" t="s">
        <v>15</v>
      </c>
      <c r="G1123" s="21" t="s">
        <v>16</v>
      </c>
      <c r="H1123" s="22">
        <f>330</f>
        <v>330</v>
      </c>
      <c r="I1123" s="22">
        <f>Table1[[#This Row],[Total Weight Imported (lbs)]]*0.453592</f>
        <v>149.68536</v>
      </c>
      <c r="J1123" s="23">
        <f>1635</f>
        <v>1635</v>
      </c>
      <c r="K1123" s="41"/>
    </row>
    <row r="1124" spans="1:11" ht="15.75" customHeight="1">
      <c r="A1124" s="27" t="s">
        <v>266</v>
      </c>
      <c r="B1124" s="27" t="s">
        <v>28</v>
      </c>
      <c r="C1124" s="27" t="s">
        <v>14</v>
      </c>
      <c r="D1124" s="20" t="str">
        <f>VLOOKUP(Table1[[#This Row],[Point of Origin]],Table2[#All],2,0)</f>
        <v>USA</v>
      </c>
      <c r="E1124" s="20" t="str">
        <f>VLOOKUP(Table1[[#This Row],[Point of Origin]],Table2[#All],3,0)</f>
        <v>Domestic</v>
      </c>
      <c r="F1124" s="20" t="s">
        <v>67</v>
      </c>
      <c r="G1124" s="21" t="s">
        <v>68</v>
      </c>
      <c r="H1124" s="22">
        <f>135</f>
        <v>135</v>
      </c>
      <c r="I1124" s="22">
        <f>Table1[[#This Row],[Total Weight Imported (lbs)]]*0.453592</f>
        <v>61.234920000000002</v>
      </c>
      <c r="J1124" s="23">
        <f>345</f>
        <v>345</v>
      </c>
      <c r="K1124" s="41"/>
    </row>
    <row r="1125" spans="1:11" ht="15.75" customHeight="1">
      <c r="A1125" s="27" t="s">
        <v>266</v>
      </c>
      <c r="B1125" s="27" t="s">
        <v>28</v>
      </c>
      <c r="C1125" s="27" t="s">
        <v>14</v>
      </c>
      <c r="D1125" s="20" t="str">
        <f>VLOOKUP(Table1[[#This Row],[Point of Origin]],Table2[#All],2,0)</f>
        <v>USA</v>
      </c>
      <c r="E1125" s="20" t="str">
        <f>VLOOKUP(Table1[[#This Row],[Point of Origin]],Table2[#All],3,0)</f>
        <v>Domestic</v>
      </c>
      <c r="F1125" s="20" t="s">
        <v>124</v>
      </c>
      <c r="G1125" s="21" t="s">
        <v>30</v>
      </c>
      <c r="H1125" s="22">
        <f>25</f>
        <v>25</v>
      </c>
      <c r="I1125" s="22">
        <f>Table1[[#This Row],[Total Weight Imported (lbs)]]*0.453592</f>
        <v>11.3398</v>
      </c>
      <c r="J1125" s="23">
        <f>20</f>
        <v>20</v>
      </c>
      <c r="K1125" s="41"/>
    </row>
    <row r="1126" spans="1:11" ht="15.75" customHeight="1">
      <c r="A1126" s="27" t="s">
        <v>266</v>
      </c>
      <c r="B1126" s="27" t="s">
        <v>28</v>
      </c>
      <c r="C1126" s="27" t="s">
        <v>14</v>
      </c>
      <c r="D1126" s="20" t="str">
        <f>VLOOKUP(Table1[[#This Row],[Point of Origin]],Table2[#All],2,0)</f>
        <v>USA</v>
      </c>
      <c r="E1126" s="20" t="str">
        <f>VLOOKUP(Table1[[#This Row],[Point of Origin]],Table2[#All],3,0)</f>
        <v>Domestic</v>
      </c>
      <c r="F1126" s="20" t="s">
        <v>19</v>
      </c>
      <c r="G1126" s="21" t="s">
        <v>20</v>
      </c>
      <c r="H1126" s="22">
        <f>594</f>
        <v>594</v>
      </c>
      <c r="I1126" s="22">
        <f>Table1[[#This Row],[Total Weight Imported (lbs)]]*0.453592</f>
        <v>269.43364800000001</v>
      </c>
      <c r="J1126" s="23">
        <f>924</f>
        <v>924</v>
      </c>
      <c r="K1126" s="41"/>
    </row>
    <row r="1127" spans="1:11" ht="15.75" customHeight="1">
      <c r="A1127" s="27" t="s">
        <v>266</v>
      </c>
      <c r="B1127" s="27" t="s">
        <v>28</v>
      </c>
      <c r="C1127" s="27" t="s">
        <v>14</v>
      </c>
      <c r="D1127" s="20" t="str">
        <f>VLOOKUP(Table1[[#This Row],[Point of Origin]],Table2[#All],2,0)</f>
        <v>USA</v>
      </c>
      <c r="E1127" s="20" t="str">
        <f>VLOOKUP(Table1[[#This Row],[Point of Origin]],Table2[#All],3,0)</f>
        <v>Domestic</v>
      </c>
      <c r="F1127" s="20" t="s">
        <v>21</v>
      </c>
      <c r="G1127" s="21" t="s">
        <v>22</v>
      </c>
      <c r="H1127" s="22">
        <f>100</f>
        <v>100</v>
      </c>
      <c r="I1127" s="22">
        <f>Table1[[#This Row],[Total Weight Imported (lbs)]]*0.453592</f>
        <v>45.359200000000001</v>
      </c>
      <c r="J1127" s="23">
        <f>144</f>
        <v>144</v>
      </c>
      <c r="K1127" s="41"/>
    </row>
    <row r="1128" spans="1:11" ht="15.75" customHeight="1">
      <c r="A1128" s="27" t="s">
        <v>266</v>
      </c>
      <c r="B1128" s="27" t="s">
        <v>28</v>
      </c>
      <c r="C1128" s="27" t="s">
        <v>14</v>
      </c>
      <c r="D1128" s="20" t="str">
        <f>VLOOKUP(Table1[[#This Row],[Point of Origin]],Table2[#All],2,0)</f>
        <v>USA</v>
      </c>
      <c r="E1128" s="20" t="str">
        <f>VLOOKUP(Table1[[#This Row],[Point of Origin]],Table2[#All],3,0)</f>
        <v>Domestic</v>
      </c>
      <c r="F1128" s="20" t="s">
        <v>82</v>
      </c>
      <c r="G1128" s="21" t="s">
        <v>20</v>
      </c>
      <c r="H1128" s="22">
        <f>650+330+252</f>
        <v>1232</v>
      </c>
      <c r="I1128" s="22">
        <f>Table1[[#This Row],[Total Weight Imported (lbs)]]*0.453592</f>
        <v>558.82534399999997</v>
      </c>
      <c r="J1128" s="23">
        <f>520+189+297</f>
        <v>1006</v>
      </c>
      <c r="K1128" s="41"/>
    </row>
    <row r="1129" spans="1:11" ht="15.75" customHeight="1">
      <c r="A1129" s="27" t="s">
        <v>266</v>
      </c>
      <c r="B1129" s="27" t="s">
        <v>28</v>
      </c>
      <c r="C1129" s="27" t="s">
        <v>14</v>
      </c>
      <c r="D1129" s="20" t="str">
        <f>VLOOKUP(Table1[[#This Row],[Point of Origin]],Table2[#All],2,0)</f>
        <v>USA</v>
      </c>
      <c r="E1129" s="20" t="str">
        <f>VLOOKUP(Table1[[#This Row],[Point of Origin]],Table2[#All],3,0)</f>
        <v>Domestic</v>
      </c>
      <c r="F1129" s="20" t="s">
        <v>82</v>
      </c>
      <c r="G1129" s="21" t="s">
        <v>20</v>
      </c>
      <c r="H1129" s="22">
        <f>200</f>
        <v>200</v>
      </c>
      <c r="I1129" s="22">
        <f>Table1[[#This Row],[Total Weight Imported (lbs)]]*0.453592</f>
        <v>90.718400000000003</v>
      </c>
      <c r="J1129" s="23">
        <f>112</f>
        <v>112</v>
      </c>
      <c r="K1129" s="41"/>
    </row>
    <row r="1130" spans="1:11" ht="15.75" customHeight="1">
      <c r="A1130" s="27" t="s">
        <v>266</v>
      </c>
      <c r="B1130" s="27" t="s">
        <v>28</v>
      </c>
      <c r="C1130" s="27" t="s">
        <v>14</v>
      </c>
      <c r="D1130" s="20" t="str">
        <f>VLOOKUP(Table1[[#This Row],[Point of Origin]],Table2[#All],2,0)</f>
        <v>USA</v>
      </c>
      <c r="E1130" s="20" t="str">
        <f>VLOOKUP(Table1[[#This Row],[Point of Origin]],Table2[#All],3,0)</f>
        <v>Domestic</v>
      </c>
      <c r="F1130" s="20" t="s">
        <v>40</v>
      </c>
      <c r="G1130" s="21" t="s">
        <v>41</v>
      </c>
      <c r="H1130" s="22">
        <f>125+32+3700+1170+96+120+10</f>
        <v>5253</v>
      </c>
      <c r="I1130" s="22">
        <f>Table1[[#This Row],[Total Weight Imported (lbs)]]*0.453592</f>
        <v>2382.7187760000002</v>
      </c>
      <c r="J1130" s="23">
        <f>75+604.8+2608.5+1269.84+79.26+158.52+23.17</f>
        <v>4819.0900000000011</v>
      </c>
      <c r="K1130" s="41"/>
    </row>
    <row r="1131" spans="1:11" ht="15.75" customHeight="1">
      <c r="A1131" s="27" t="s">
        <v>266</v>
      </c>
      <c r="B1131" s="27" t="s">
        <v>28</v>
      </c>
      <c r="C1131" s="27" t="s">
        <v>14</v>
      </c>
      <c r="D1131" s="20" t="str">
        <f>VLOOKUP(Table1[[#This Row],[Point of Origin]],Table2[#All],2,0)</f>
        <v>USA</v>
      </c>
      <c r="E1131" s="20" t="str">
        <f>VLOOKUP(Table1[[#This Row],[Point of Origin]],Table2[#All],3,0)</f>
        <v>Domestic</v>
      </c>
      <c r="F1131" s="20" t="s">
        <v>19</v>
      </c>
      <c r="G1131" s="21" t="s">
        <v>20</v>
      </c>
      <c r="H1131" s="22">
        <f>18</f>
        <v>18</v>
      </c>
      <c r="I1131" s="22">
        <f>Table1[[#This Row],[Total Weight Imported (lbs)]]*0.453592</f>
        <v>8.1646560000000008</v>
      </c>
      <c r="J1131" s="23">
        <f>39</f>
        <v>39</v>
      </c>
      <c r="K1131" s="41"/>
    </row>
    <row r="1132" spans="1:11" ht="15.75" customHeight="1">
      <c r="A1132" s="27" t="s">
        <v>266</v>
      </c>
      <c r="B1132" s="27" t="s">
        <v>28</v>
      </c>
      <c r="C1132" s="27" t="s">
        <v>14</v>
      </c>
      <c r="D1132" s="20" t="str">
        <f>VLOOKUP(Table1[[#This Row],[Point of Origin]],Table2[#All],2,0)</f>
        <v>USA</v>
      </c>
      <c r="E1132" s="20" t="str">
        <f>VLOOKUP(Table1[[#This Row],[Point of Origin]],Table2[#All],3,0)</f>
        <v>Domestic</v>
      </c>
      <c r="F1132" s="27" t="s">
        <v>56</v>
      </c>
      <c r="G1132" s="21" t="s">
        <v>57</v>
      </c>
      <c r="H1132" s="22">
        <f>416</f>
        <v>416</v>
      </c>
      <c r="I1132" s="22">
        <f>Table1[[#This Row],[Total Weight Imported (lbs)]]*0.453592</f>
        <v>188.69427200000001</v>
      </c>
      <c r="J1132" s="23">
        <f>196</f>
        <v>196</v>
      </c>
      <c r="K1132" s="41"/>
    </row>
    <row r="1133" spans="1:11" ht="15.75" customHeight="1">
      <c r="A1133" s="27" t="s">
        <v>266</v>
      </c>
      <c r="B1133" s="27" t="s">
        <v>28</v>
      </c>
      <c r="C1133" s="27" t="s">
        <v>14</v>
      </c>
      <c r="D1133" s="20" t="str">
        <f>VLOOKUP(Table1[[#This Row],[Point of Origin]],Table2[#All],2,0)</f>
        <v>USA</v>
      </c>
      <c r="E1133" s="20" t="str">
        <f>VLOOKUP(Table1[[#This Row],[Point of Origin]],Table2[#All],3,0)</f>
        <v>Domestic</v>
      </c>
      <c r="F1133" s="27" t="s">
        <v>163</v>
      </c>
      <c r="G1133" s="21" t="s">
        <v>164</v>
      </c>
      <c r="H1133" s="22">
        <f>120</f>
        <v>120</v>
      </c>
      <c r="I1133" s="22">
        <f>Table1[[#This Row],[Total Weight Imported (lbs)]]*0.453592</f>
        <v>54.431039999999996</v>
      </c>
      <c r="J1133" s="23">
        <f>210</f>
        <v>210</v>
      </c>
      <c r="K1133" s="41"/>
    </row>
    <row r="1134" spans="1:11" ht="15.75" customHeight="1">
      <c r="A1134" s="27" t="s">
        <v>266</v>
      </c>
      <c r="B1134" s="27" t="s">
        <v>28</v>
      </c>
      <c r="C1134" s="27" t="s">
        <v>14</v>
      </c>
      <c r="D1134" s="20" t="str">
        <f>VLOOKUP(Table1[[#This Row],[Point of Origin]],Table2[#All],2,0)</f>
        <v>USA</v>
      </c>
      <c r="E1134" s="20" t="str">
        <f>VLOOKUP(Table1[[#This Row],[Point of Origin]],Table2[#All],3,0)</f>
        <v>Domestic</v>
      </c>
      <c r="F1134" s="27" t="s">
        <v>71</v>
      </c>
      <c r="G1134" s="21" t="s">
        <v>72</v>
      </c>
      <c r="H1134" s="22">
        <f>216</f>
        <v>216</v>
      </c>
      <c r="I1134" s="22">
        <f>Table1[[#This Row],[Total Weight Imported (lbs)]]*0.453592</f>
        <v>97.975871999999995</v>
      </c>
      <c r="J1134" s="23">
        <f>492</f>
        <v>492</v>
      </c>
      <c r="K1134" s="41"/>
    </row>
    <row r="1135" spans="1:11" ht="15.75" customHeight="1">
      <c r="A1135" s="27" t="s">
        <v>266</v>
      </c>
      <c r="B1135" s="27" t="s">
        <v>28</v>
      </c>
      <c r="C1135" s="27" t="s">
        <v>14</v>
      </c>
      <c r="D1135" s="20" t="str">
        <f>VLOOKUP(Table1[[#This Row],[Point of Origin]],Table2[#All],2,0)</f>
        <v>USA</v>
      </c>
      <c r="E1135" s="20" t="str">
        <f>VLOOKUP(Table1[[#This Row],[Point of Origin]],Table2[#All],3,0)</f>
        <v>Domestic</v>
      </c>
      <c r="F1135" s="27" t="s">
        <v>71</v>
      </c>
      <c r="G1135" s="21" t="s">
        <v>72</v>
      </c>
      <c r="H1135" s="22">
        <f>54+342</f>
        <v>396</v>
      </c>
      <c r="I1135" s="22">
        <f>Table1[[#This Row],[Total Weight Imported (lbs)]]*0.453592</f>
        <v>179.622432</v>
      </c>
      <c r="J1135" s="23">
        <f>130.5+779</f>
        <v>909.5</v>
      </c>
      <c r="K1135" s="41"/>
    </row>
    <row r="1136" spans="1:11" ht="15.75" customHeight="1">
      <c r="A1136" s="27" t="s">
        <v>266</v>
      </c>
      <c r="B1136" s="27" t="s">
        <v>28</v>
      </c>
      <c r="C1136" s="27" t="s">
        <v>14</v>
      </c>
      <c r="D1136" s="20" t="str">
        <f>VLOOKUP(Table1[[#This Row],[Point of Origin]],Table2[#All],2,0)</f>
        <v>USA</v>
      </c>
      <c r="E1136" s="20" t="str">
        <f>VLOOKUP(Table1[[#This Row],[Point of Origin]],Table2[#All],3,0)</f>
        <v>Domestic</v>
      </c>
      <c r="F1136" s="27" t="s">
        <v>87</v>
      </c>
      <c r="G1136" s="21" t="s">
        <v>20</v>
      </c>
      <c r="H1136" s="22">
        <f>360</f>
        <v>360</v>
      </c>
      <c r="I1136" s="22">
        <f>Table1[[#This Row],[Total Weight Imported (lbs)]]*0.453592</f>
        <v>163.29311999999999</v>
      </c>
      <c r="J1136" s="23">
        <f>525</f>
        <v>525</v>
      </c>
      <c r="K1136" s="41"/>
    </row>
    <row r="1137" spans="1:11" ht="15.75" customHeight="1">
      <c r="A1137" s="27" t="s">
        <v>266</v>
      </c>
      <c r="B1137" s="27" t="s">
        <v>28</v>
      </c>
      <c r="C1137" s="27" t="s">
        <v>14</v>
      </c>
      <c r="D1137" s="20" t="str">
        <f>VLOOKUP(Table1[[#This Row],[Point of Origin]],Table2[#All],2,0)</f>
        <v>USA</v>
      </c>
      <c r="E1137" s="20" t="str">
        <f>VLOOKUP(Table1[[#This Row],[Point of Origin]],Table2[#All],3,0)</f>
        <v>Domestic</v>
      </c>
      <c r="F1137" s="27" t="s">
        <v>139</v>
      </c>
      <c r="G1137" s="21" t="s">
        <v>140</v>
      </c>
      <c r="H1137" s="22">
        <f>66</f>
        <v>66</v>
      </c>
      <c r="I1137" s="22">
        <f>Table1[[#This Row],[Total Weight Imported (lbs)]]*0.453592</f>
        <v>29.937072000000001</v>
      </c>
      <c r="J1137" s="23">
        <f>198</f>
        <v>198</v>
      </c>
      <c r="K1137" s="41"/>
    </row>
    <row r="1138" spans="1:11" ht="15.75" customHeight="1">
      <c r="A1138" s="27" t="s">
        <v>266</v>
      </c>
      <c r="B1138" s="27" t="s">
        <v>28</v>
      </c>
      <c r="C1138" s="27" t="s">
        <v>14</v>
      </c>
      <c r="D1138" s="20" t="str">
        <f>VLOOKUP(Table1[[#This Row],[Point of Origin]],Table2[#All],2,0)</f>
        <v>USA</v>
      </c>
      <c r="E1138" s="20" t="str">
        <f>VLOOKUP(Table1[[#This Row],[Point of Origin]],Table2[#All],3,0)</f>
        <v>Domestic</v>
      </c>
      <c r="F1138" s="27" t="s">
        <v>137</v>
      </c>
      <c r="G1138" s="21" t="s">
        <v>138</v>
      </c>
      <c r="H1138" s="22">
        <f>480</f>
        <v>480</v>
      </c>
      <c r="I1138" s="22">
        <f>Table1[[#This Row],[Total Weight Imported (lbs)]]*0.453592</f>
        <v>217.72415999999998</v>
      </c>
      <c r="J1138" s="23">
        <f>498</f>
        <v>498</v>
      </c>
      <c r="K1138" s="1"/>
    </row>
    <row r="1139" spans="1:11" ht="15.75" customHeight="1">
      <c r="A1139" s="27" t="s">
        <v>266</v>
      </c>
      <c r="B1139" s="27" t="s">
        <v>28</v>
      </c>
      <c r="C1139" s="27" t="s">
        <v>14</v>
      </c>
      <c r="D1139" s="20" t="str">
        <f>VLOOKUP(Table1[[#This Row],[Point of Origin]],Table2[#All],2,0)</f>
        <v>USA</v>
      </c>
      <c r="E1139" s="20" t="str">
        <f>VLOOKUP(Table1[[#This Row],[Point of Origin]],Table2[#All],3,0)</f>
        <v>Domestic</v>
      </c>
      <c r="F1139" s="20" t="s">
        <v>59</v>
      </c>
      <c r="G1139" s="21" t="s">
        <v>60</v>
      </c>
      <c r="H1139" s="22">
        <f>51+950+4375+759+85</f>
        <v>6220</v>
      </c>
      <c r="I1139" s="22">
        <f>Table1[[#This Row],[Total Weight Imported (lbs)]]*0.453592</f>
        <v>2821.3422399999999</v>
      </c>
      <c r="J1139" s="23">
        <f>70.5+612.5+4550+563.5+112.5</f>
        <v>5909</v>
      </c>
      <c r="K1139" s="41"/>
    </row>
    <row r="1140" spans="1:11" ht="15.75" customHeight="1">
      <c r="A1140" s="27" t="s">
        <v>266</v>
      </c>
      <c r="B1140" s="27" t="s">
        <v>28</v>
      </c>
      <c r="C1140" s="27" t="s">
        <v>14</v>
      </c>
      <c r="D1140" s="20" t="str">
        <f>VLOOKUP(Table1[[#This Row],[Point of Origin]],Table2[#All],2,0)</f>
        <v>USA</v>
      </c>
      <c r="E1140" s="20" t="str">
        <f>VLOOKUP(Table1[[#This Row],[Point of Origin]],Table2[#All],3,0)</f>
        <v>Domestic</v>
      </c>
      <c r="F1140" s="27" t="s">
        <v>147</v>
      </c>
      <c r="G1140" s="21" t="s">
        <v>138</v>
      </c>
      <c r="H1140" s="22">
        <f>252</f>
        <v>252</v>
      </c>
      <c r="I1140" s="22">
        <f>Table1[[#This Row],[Total Weight Imported (lbs)]]*0.453592</f>
        <v>114.305184</v>
      </c>
      <c r="J1140" s="23">
        <f>465.5</f>
        <v>465.5</v>
      </c>
      <c r="K1140" s="41"/>
    </row>
    <row r="1141" spans="1:11" ht="15.75" customHeight="1">
      <c r="A1141" s="27" t="s">
        <v>266</v>
      </c>
      <c r="B1141" s="27" t="s">
        <v>28</v>
      </c>
      <c r="C1141" s="27" t="s">
        <v>14</v>
      </c>
      <c r="D1141" s="20" t="str">
        <f>VLOOKUP(Table1[[#This Row],[Point of Origin]],Table2[#All],2,0)</f>
        <v>USA</v>
      </c>
      <c r="E1141" s="20" t="str">
        <f>VLOOKUP(Table1[[#This Row],[Point of Origin]],Table2[#All],3,0)</f>
        <v>Domestic</v>
      </c>
      <c r="F1141" s="20" t="s">
        <v>48</v>
      </c>
      <c r="G1141" s="21" t="s">
        <v>49</v>
      </c>
      <c r="H1141" s="22">
        <f>136</f>
        <v>136</v>
      </c>
      <c r="I1141" s="22">
        <f>Table1[[#This Row],[Total Weight Imported (lbs)]]*0.453592</f>
        <v>61.688512000000003</v>
      </c>
      <c r="J1141" s="23">
        <f>425</f>
        <v>425</v>
      </c>
      <c r="K1141" s="41"/>
    </row>
    <row r="1142" spans="1:11" ht="15.75" customHeight="1">
      <c r="A1142" s="27" t="s">
        <v>266</v>
      </c>
      <c r="B1142" s="27" t="s">
        <v>28</v>
      </c>
      <c r="C1142" s="27" t="s">
        <v>14</v>
      </c>
      <c r="D1142" s="20" t="str">
        <f>VLOOKUP(Table1[[#This Row],[Point of Origin]],Table2[#All],2,0)</f>
        <v>USA</v>
      </c>
      <c r="E1142" s="20" t="str">
        <f>VLOOKUP(Table1[[#This Row],[Point of Origin]],Table2[#All],3,0)</f>
        <v>Domestic</v>
      </c>
      <c r="F1142" s="27" t="s">
        <v>157</v>
      </c>
      <c r="G1142" s="21" t="s">
        <v>127</v>
      </c>
      <c r="H1142" s="22">
        <f>684</f>
        <v>684</v>
      </c>
      <c r="I1142" s="22">
        <f>Table1[[#This Row],[Total Weight Imported (lbs)]]*0.453592</f>
        <v>310.25692800000002</v>
      </c>
      <c r="J1142" s="23">
        <f>423</f>
        <v>423</v>
      </c>
      <c r="K1142" s="41"/>
    </row>
    <row r="1143" spans="1:11" ht="15.75" customHeight="1">
      <c r="A1143" s="27" t="s">
        <v>266</v>
      </c>
      <c r="B1143" s="27" t="s">
        <v>28</v>
      </c>
      <c r="C1143" s="27" t="s">
        <v>14</v>
      </c>
      <c r="D1143" s="20" t="str">
        <f>VLOOKUP(Table1[[#This Row],[Point of Origin]],Table2[#All],2,0)</f>
        <v>USA</v>
      </c>
      <c r="E1143" s="20" t="str">
        <f>VLOOKUP(Table1[[#This Row],[Point of Origin]],Table2[#All],3,0)</f>
        <v>Domestic</v>
      </c>
      <c r="F1143" s="27" t="s">
        <v>158</v>
      </c>
      <c r="G1143" s="21" t="s">
        <v>127</v>
      </c>
      <c r="H1143" s="22">
        <f>350</f>
        <v>350</v>
      </c>
      <c r="I1143" s="22">
        <f>Table1[[#This Row],[Total Weight Imported (lbs)]]*0.453592</f>
        <v>158.75720000000001</v>
      </c>
      <c r="J1143" s="23">
        <f>315</f>
        <v>315</v>
      </c>
      <c r="K1143" s="41"/>
    </row>
    <row r="1144" spans="1:11" ht="15.75" customHeight="1">
      <c r="A1144" s="27" t="s">
        <v>266</v>
      </c>
      <c r="B1144" s="27" t="s">
        <v>28</v>
      </c>
      <c r="C1144" s="27" t="s">
        <v>14</v>
      </c>
      <c r="D1144" s="20" t="str">
        <f>VLOOKUP(Table1[[#This Row],[Point of Origin]],Table2[#All],2,0)</f>
        <v>USA</v>
      </c>
      <c r="E1144" s="20" t="str">
        <f>VLOOKUP(Table1[[#This Row],[Point of Origin]],Table2[#All],3,0)</f>
        <v>Domestic</v>
      </c>
      <c r="F1144" s="27" t="s">
        <v>161</v>
      </c>
      <c r="G1144" s="21" t="s">
        <v>162</v>
      </c>
      <c r="H1144" s="22">
        <f>300</f>
        <v>300</v>
      </c>
      <c r="I1144" s="22">
        <f>Table1[[#This Row],[Total Weight Imported (lbs)]]*0.453592</f>
        <v>136.07759999999999</v>
      </c>
      <c r="J1144" s="23">
        <f>212.5</f>
        <v>212.5</v>
      </c>
      <c r="K1144" s="41"/>
    </row>
    <row r="1145" spans="1:11" ht="15.75" customHeight="1">
      <c r="A1145" s="27" t="s">
        <v>266</v>
      </c>
      <c r="B1145" s="27" t="s">
        <v>28</v>
      </c>
      <c r="C1145" s="27" t="s">
        <v>14</v>
      </c>
      <c r="D1145" s="20" t="str">
        <f>VLOOKUP(Table1[[#This Row],[Point of Origin]],Table2[#All],2,0)</f>
        <v>USA</v>
      </c>
      <c r="E1145" s="20" t="str">
        <f>VLOOKUP(Table1[[#This Row],[Point of Origin]],Table2[#All],3,0)</f>
        <v>Domestic</v>
      </c>
      <c r="F1145" s="20" t="s">
        <v>36</v>
      </c>
      <c r="G1145" s="21" t="s">
        <v>37</v>
      </c>
      <c r="H1145" s="22">
        <f>483</f>
        <v>483</v>
      </c>
      <c r="I1145" s="22">
        <f>Table1[[#This Row],[Total Weight Imported (lbs)]]*0.453592</f>
        <v>219.084936</v>
      </c>
      <c r="J1145" s="23">
        <f>1449</f>
        <v>1449</v>
      </c>
      <c r="K1145" s="1"/>
    </row>
    <row r="1146" spans="1:11" ht="15.75" customHeight="1">
      <c r="A1146" s="27" t="s">
        <v>266</v>
      </c>
      <c r="B1146" s="27" t="s">
        <v>28</v>
      </c>
      <c r="C1146" s="27" t="s">
        <v>14</v>
      </c>
      <c r="D1146" s="20" t="str">
        <f>VLOOKUP(Table1[[#This Row],[Point of Origin]],Table2[#All],2,0)</f>
        <v>USA</v>
      </c>
      <c r="E1146" s="20" t="str">
        <f>VLOOKUP(Table1[[#This Row],[Point of Origin]],Table2[#All],3,0)</f>
        <v>Domestic</v>
      </c>
      <c r="F1146" s="27" t="s">
        <v>58</v>
      </c>
      <c r="G1146" s="21" t="s">
        <v>34</v>
      </c>
      <c r="H1146" s="22">
        <f>360+23</f>
        <v>383</v>
      </c>
      <c r="I1146" s="22">
        <f>Table1[[#This Row],[Total Weight Imported (lbs)]]*0.453592</f>
        <v>173.72573600000001</v>
      </c>
      <c r="J1146" s="23">
        <f>720+26</f>
        <v>746</v>
      </c>
      <c r="K1146" s="1"/>
    </row>
    <row r="1147" spans="1:11" ht="15.75" customHeight="1">
      <c r="A1147" s="27" t="s">
        <v>266</v>
      </c>
      <c r="B1147" s="27" t="s">
        <v>28</v>
      </c>
      <c r="C1147" s="27" t="s">
        <v>14</v>
      </c>
      <c r="D1147" s="20" t="str">
        <f>VLOOKUP(Table1[[#This Row],[Point of Origin]],Table2[#All],2,0)</f>
        <v>USA</v>
      </c>
      <c r="E1147" s="20" t="str">
        <f>VLOOKUP(Table1[[#This Row],[Point of Origin]],Table2[#All],3,0)</f>
        <v>Domestic</v>
      </c>
      <c r="F1147" s="20" t="s">
        <v>76</v>
      </c>
      <c r="G1147" s="21" t="s">
        <v>77</v>
      </c>
      <c r="H1147" s="22">
        <v>75</v>
      </c>
      <c r="I1147" s="22">
        <f>Table1[[#This Row],[Total Weight Imported (lbs)]]*0.453592</f>
        <v>34.019399999999997</v>
      </c>
      <c r="J1147" s="23">
        <v>115.5</v>
      </c>
      <c r="K1147" s="1"/>
    </row>
    <row r="1148" spans="1:11" ht="15.75" customHeight="1">
      <c r="A1148" s="27" t="s">
        <v>266</v>
      </c>
      <c r="B1148" s="27" t="s">
        <v>28</v>
      </c>
      <c r="C1148" s="27" t="s">
        <v>14</v>
      </c>
      <c r="D1148" s="20" t="str">
        <f>VLOOKUP(Table1[[#This Row],[Point of Origin]],Table2[#All],2,0)</f>
        <v>USA</v>
      </c>
      <c r="E1148" s="20" t="str">
        <f>VLOOKUP(Table1[[#This Row],[Point of Origin]],Table2[#All],3,0)</f>
        <v>Domestic</v>
      </c>
      <c r="F1148" s="20" t="s">
        <v>43</v>
      </c>
      <c r="G1148" s="21" t="s">
        <v>44</v>
      </c>
      <c r="H1148" s="22">
        <f>120</f>
        <v>120</v>
      </c>
      <c r="I1148" s="22">
        <f>Table1[[#This Row],[Total Weight Imported (lbs)]]*0.453592</f>
        <v>54.431039999999996</v>
      </c>
      <c r="J1148" s="23">
        <f>162</f>
        <v>162</v>
      </c>
      <c r="K1148" s="41"/>
    </row>
    <row r="1149" spans="1:11" ht="15.75" customHeight="1">
      <c r="A1149" s="27" t="s">
        <v>266</v>
      </c>
      <c r="B1149" s="27" t="s">
        <v>28</v>
      </c>
      <c r="C1149" s="27" t="s">
        <v>14</v>
      </c>
      <c r="D1149" s="20" t="str">
        <f>VLOOKUP(Table1[[#This Row],[Point of Origin]],Table2[#All],2,0)</f>
        <v>USA</v>
      </c>
      <c r="E1149" s="20" t="str">
        <f>VLOOKUP(Table1[[#This Row],[Point of Origin]],Table2[#All],3,0)</f>
        <v>Domestic</v>
      </c>
      <c r="F1149" s="27" t="s">
        <v>102</v>
      </c>
      <c r="G1149" s="21" t="s">
        <v>32</v>
      </c>
      <c r="H1149" s="22">
        <f>24+12</f>
        <v>36</v>
      </c>
      <c r="I1149" s="22">
        <f>Table1[[#This Row],[Total Weight Imported (lbs)]]*0.453592</f>
        <v>16.329312000000002</v>
      </c>
      <c r="J1149" s="23">
        <f>45+22.5</f>
        <v>67.5</v>
      </c>
      <c r="K1149" s="41"/>
    </row>
    <row r="1150" spans="1:11" ht="15.75" customHeight="1">
      <c r="A1150" s="27" t="s">
        <v>266</v>
      </c>
      <c r="B1150" s="27" t="s">
        <v>28</v>
      </c>
      <c r="C1150" s="27" t="s">
        <v>14</v>
      </c>
      <c r="D1150" s="20" t="str">
        <f>VLOOKUP(Table1[[#This Row],[Point of Origin]],Table2[#All],2,0)</f>
        <v>USA</v>
      </c>
      <c r="E1150" s="20" t="str">
        <f>VLOOKUP(Table1[[#This Row],[Point of Origin]],Table2[#All],3,0)</f>
        <v>Domestic</v>
      </c>
      <c r="F1150" s="20" t="s">
        <v>154</v>
      </c>
      <c r="G1150" s="21" t="s">
        <v>155</v>
      </c>
      <c r="H1150" s="22">
        <f>80</f>
        <v>80</v>
      </c>
      <c r="I1150" s="22">
        <f>Table1[[#This Row],[Total Weight Imported (lbs)]]*0.453592</f>
        <v>36.28736</v>
      </c>
      <c r="J1150" s="23">
        <f>75</f>
        <v>75</v>
      </c>
      <c r="K1150" s="1"/>
    </row>
    <row r="1151" spans="1:11" ht="15.75" customHeight="1">
      <c r="A1151" s="27" t="s">
        <v>266</v>
      </c>
      <c r="B1151" s="27" t="s">
        <v>28</v>
      </c>
      <c r="C1151" s="27" t="s">
        <v>14</v>
      </c>
      <c r="D1151" s="20" t="str">
        <f>VLOOKUP(Table1[[#This Row],[Point of Origin]],Table2[#All],2,0)</f>
        <v>USA</v>
      </c>
      <c r="E1151" s="20" t="str">
        <f>VLOOKUP(Table1[[#This Row],[Point of Origin]],Table2[#All],3,0)</f>
        <v>Domestic</v>
      </c>
      <c r="F1151" s="20" t="s">
        <v>61</v>
      </c>
      <c r="G1151" s="21" t="s">
        <v>62</v>
      </c>
      <c r="H1151" s="22">
        <f>425+325</f>
        <v>750</v>
      </c>
      <c r="I1151" s="22">
        <f>Table1[[#This Row],[Total Weight Imported (lbs)]]*0.453592</f>
        <v>340.19400000000002</v>
      </c>
      <c r="J1151" s="23">
        <f>425+435</f>
        <v>860</v>
      </c>
      <c r="K1151" s="41"/>
    </row>
    <row r="1152" spans="1:11" ht="15.75" customHeight="1">
      <c r="A1152" s="27" t="s">
        <v>266</v>
      </c>
      <c r="B1152" s="27" t="s">
        <v>28</v>
      </c>
      <c r="C1152" s="27" t="s">
        <v>14</v>
      </c>
      <c r="D1152" s="20" t="str">
        <f>VLOOKUP(Table1[[#This Row],[Point of Origin]],Table2[#All],2,0)</f>
        <v>USA</v>
      </c>
      <c r="E1152" s="20" t="str">
        <f>VLOOKUP(Table1[[#This Row],[Point of Origin]],Table2[#All],3,0)</f>
        <v>Domestic</v>
      </c>
      <c r="F1152" s="20" t="s">
        <v>159</v>
      </c>
      <c r="G1152" s="21" t="s">
        <v>160</v>
      </c>
      <c r="H1152" s="22">
        <f>25</f>
        <v>25</v>
      </c>
      <c r="I1152" s="22">
        <f>Table1[[#This Row],[Total Weight Imported (lbs)]]*0.453592</f>
        <v>11.3398</v>
      </c>
      <c r="J1152" s="23">
        <f>24</f>
        <v>24</v>
      </c>
      <c r="K1152" s="1"/>
    </row>
    <row r="1153" spans="1:11" ht="15.75" customHeight="1">
      <c r="A1153" s="27" t="s">
        <v>266</v>
      </c>
      <c r="B1153" s="27" t="s">
        <v>28</v>
      </c>
      <c r="C1153" s="27" t="s">
        <v>14</v>
      </c>
      <c r="D1153" s="20" t="str">
        <f>VLOOKUP(Table1[[#This Row],[Point of Origin]],Table2[#All],2,0)</f>
        <v>USA</v>
      </c>
      <c r="E1153" s="20" t="str">
        <f>VLOOKUP(Table1[[#This Row],[Point of Origin]],Table2[#All],3,0)</f>
        <v>Domestic</v>
      </c>
      <c r="F1153" s="27" t="s">
        <v>141</v>
      </c>
      <c r="G1153" s="21" t="s">
        <v>142</v>
      </c>
      <c r="H1153" s="22">
        <f>1300</f>
        <v>1300</v>
      </c>
      <c r="I1153" s="22">
        <f>Table1[[#This Row],[Total Weight Imported (lbs)]]*0.453592</f>
        <v>589.66959999999995</v>
      </c>
      <c r="J1153" s="23">
        <f>178+23.5</f>
        <v>201.5</v>
      </c>
      <c r="K1153" s="41"/>
    </row>
    <row r="1154" spans="1:11" ht="15.75" customHeight="1">
      <c r="A1154" s="27" t="s">
        <v>266</v>
      </c>
      <c r="B1154" s="27" t="s">
        <v>28</v>
      </c>
      <c r="C1154" s="27" t="s">
        <v>14</v>
      </c>
      <c r="D1154" s="20" t="str">
        <f>VLOOKUP(Table1[[#This Row],[Point of Origin]],Table2[#All],2,0)</f>
        <v>USA</v>
      </c>
      <c r="E1154" s="20" t="str">
        <f>VLOOKUP(Table1[[#This Row],[Point of Origin]],Table2[#All],3,0)</f>
        <v>Domestic</v>
      </c>
      <c r="F1154" s="20" t="s">
        <v>54</v>
      </c>
      <c r="G1154" s="21" t="s">
        <v>30</v>
      </c>
      <c r="H1154" s="22">
        <f>100</f>
        <v>100</v>
      </c>
      <c r="I1154" s="22">
        <f>Table1[[#This Row],[Total Weight Imported (lbs)]]*0.453592</f>
        <v>45.359200000000001</v>
      </c>
      <c r="J1154" s="23">
        <f>178</f>
        <v>178</v>
      </c>
      <c r="K1154" s="41"/>
    </row>
    <row r="1155" spans="1:11" ht="15.75" customHeight="1">
      <c r="A1155" s="27" t="s">
        <v>266</v>
      </c>
      <c r="B1155" s="27" t="s">
        <v>28</v>
      </c>
      <c r="C1155" s="27" t="s">
        <v>14</v>
      </c>
      <c r="D1155" s="20" t="str">
        <f>VLOOKUP(Table1[[#This Row],[Point of Origin]],Table2[#All],2,0)</f>
        <v>USA</v>
      </c>
      <c r="E1155" s="20" t="str">
        <f>VLOOKUP(Table1[[#This Row],[Point of Origin]],Table2[#All],3,0)</f>
        <v>Domestic</v>
      </c>
      <c r="F1155" s="20" t="s">
        <v>63</v>
      </c>
      <c r="G1155" s="21" t="s">
        <v>64</v>
      </c>
      <c r="H1155" s="22">
        <f>72</f>
        <v>72</v>
      </c>
      <c r="I1155" s="22">
        <f>Table1[[#This Row],[Total Weight Imported (lbs)]]*0.453592</f>
        <v>32.658624000000003</v>
      </c>
      <c r="J1155" s="23">
        <f>38</f>
        <v>38</v>
      </c>
      <c r="K1155" s="1"/>
    </row>
    <row r="1156" spans="1:11" ht="15.75" customHeight="1">
      <c r="A1156" s="27" t="s">
        <v>266</v>
      </c>
      <c r="B1156" s="27" t="s">
        <v>28</v>
      </c>
      <c r="C1156" s="27" t="s">
        <v>14</v>
      </c>
      <c r="D1156" s="20" t="str">
        <f>VLOOKUP(Table1[[#This Row],[Point of Origin]],Table2[#All],2,0)</f>
        <v>USA</v>
      </c>
      <c r="E1156" s="20" t="str">
        <f>VLOOKUP(Table1[[#This Row],[Point of Origin]],Table2[#All],3,0)</f>
        <v>Domestic</v>
      </c>
      <c r="F1156" s="20" t="s">
        <v>63</v>
      </c>
      <c r="G1156" s="21" t="s">
        <v>64</v>
      </c>
      <c r="H1156" s="22">
        <f>96</f>
        <v>96</v>
      </c>
      <c r="I1156" s="22">
        <f>Table1[[#This Row],[Total Weight Imported (lbs)]]*0.453592</f>
        <v>43.544832</v>
      </c>
      <c r="J1156" s="23">
        <f>72</f>
        <v>72</v>
      </c>
      <c r="K1156" s="1"/>
    </row>
    <row r="1157" spans="1:11" ht="15.75" customHeight="1">
      <c r="A1157" s="27" t="s">
        <v>266</v>
      </c>
      <c r="B1157" s="27" t="s">
        <v>28</v>
      </c>
      <c r="C1157" s="27" t="s">
        <v>14</v>
      </c>
      <c r="D1157" s="20" t="str">
        <f>VLOOKUP(Table1[[#This Row],[Point of Origin]],Table2[#All],2,0)</f>
        <v>USA</v>
      </c>
      <c r="E1157" s="20" t="str">
        <f>VLOOKUP(Table1[[#This Row],[Point of Origin]],Table2[#All],3,0)</f>
        <v>Domestic</v>
      </c>
      <c r="F1157" s="20" t="s">
        <v>128</v>
      </c>
      <c r="G1157" s="21" t="s">
        <v>129</v>
      </c>
      <c r="H1157" s="22">
        <f>40+80+78</f>
        <v>198</v>
      </c>
      <c r="I1157" s="22">
        <f>Table1[[#This Row],[Total Weight Imported (lbs)]]*0.453592</f>
        <v>89.811216000000002</v>
      </c>
      <c r="J1157" s="23">
        <f>44.5+60+130.5</f>
        <v>235</v>
      </c>
      <c r="K1157" s="41"/>
    </row>
    <row r="1158" spans="1:11" ht="15.75" customHeight="1">
      <c r="A1158" s="27" t="s">
        <v>266</v>
      </c>
      <c r="B1158" s="27" t="s">
        <v>28</v>
      </c>
      <c r="C1158" s="27" t="s">
        <v>14</v>
      </c>
      <c r="D1158" s="20" t="str">
        <f>VLOOKUP(Table1[[#This Row],[Point of Origin]],Table2[#All],2,0)</f>
        <v>USA</v>
      </c>
      <c r="E1158" s="20" t="str">
        <f>VLOOKUP(Table1[[#This Row],[Point of Origin]],Table2[#All],3,0)</f>
        <v>Domestic</v>
      </c>
      <c r="F1158" s="20" t="s">
        <v>38</v>
      </c>
      <c r="G1158" s="21" t="s">
        <v>39</v>
      </c>
      <c r="H1158" s="22">
        <f>1030+15+195+360</f>
        <v>1600</v>
      </c>
      <c r="I1158" s="22">
        <f>Table1[[#This Row],[Total Weight Imported (lbs)]]*0.453592</f>
        <v>725.74720000000002</v>
      </c>
      <c r="J1158" s="23">
        <f>51+1080+22.5+318.5+324</f>
        <v>1796</v>
      </c>
      <c r="K1158" s="41"/>
    </row>
    <row r="1159" spans="1:11" ht="15.75" customHeight="1">
      <c r="A1159" s="27" t="s">
        <v>266</v>
      </c>
      <c r="B1159" s="27" t="s">
        <v>28</v>
      </c>
      <c r="C1159" s="27" t="s">
        <v>14</v>
      </c>
      <c r="D1159" s="20" t="str">
        <f>VLOOKUP(Table1[[#This Row],[Point of Origin]],Table2[#All],2,0)</f>
        <v>USA</v>
      </c>
      <c r="E1159" s="20" t="str">
        <f>VLOOKUP(Table1[[#This Row],[Point of Origin]],Table2[#All],3,0)</f>
        <v>Domestic</v>
      </c>
      <c r="F1159" s="27" t="s">
        <v>191</v>
      </c>
      <c r="G1159" s="21" t="s">
        <v>192</v>
      </c>
      <c r="H1159" s="22">
        <f>150</f>
        <v>150</v>
      </c>
      <c r="I1159" s="22">
        <f>Table1[[#This Row],[Total Weight Imported (lbs)]]*0.453592</f>
        <v>68.038799999999995</v>
      </c>
      <c r="J1159" s="23">
        <f>212.19</f>
        <v>212.19</v>
      </c>
      <c r="K1159" s="1"/>
    </row>
    <row r="1160" spans="1:11" ht="15.75" customHeight="1">
      <c r="A1160" s="27" t="s">
        <v>266</v>
      </c>
      <c r="B1160" s="27" t="s">
        <v>28</v>
      </c>
      <c r="C1160" s="27" t="s">
        <v>14</v>
      </c>
      <c r="D1160" s="20" t="str">
        <f>VLOOKUP(Table1[[#This Row],[Point of Origin]],Table2[#All],2,0)</f>
        <v>USA</v>
      </c>
      <c r="E1160" s="20" t="str">
        <f>VLOOKUP(Table1[[#This Row],[Point of Origin]],Table2[#All],3,0)</f>
        <v>Domestic</v>
      </c>
      <c r="F1160" s="27" t="s">
        <v>267</v>
      </c>
      <c r="G1160" s="21" t="s">
        <v>268</v>
      </c>
      <c r="H1160" s="22">
        <f>1.9</f>
        <v>1.9</v>
      </c>
      <c r="I1160" s="22">
        <f>Table1[[#This Row],[Total Weight Imported (lbs)]]*0.453592</f>
        <v>0.86182479999999995</v>
      </c>
      <c r="J1160" s="23">
        <f>88.9</f>
        <v>88.9</v>
      </c>
      <c r="K1160" s="1"/>
    </row>
    <row r="1161" spans="1:11" ht="15.75" customHeight="1">
      <c r="A1161" s="27" t="s">
        <v>266</v>
      </c>
      <c r="B1161" s="27" t="s">
        <v>28</v>
      </c>
      <c r="C1161" s="27" t="s">
        <v>14</v>
      </c>
      <c r="D1161" s="20" t="str">
        <f>VLOOKUP(Table1[[#This Row],[Point of Origin]],Table2[#All],2,0)</f>
        <v>USA</v>
      </c>
      <c r="E1161" s="20" t="str">
        <f>VLOOKUP(Table1[[#This Row],[Point of Origin]],Table2[#All],3,0)</f>
        <v>Domestic</v>
      </c>
      <c r="F1161" s="20" t="s">
        <v>76</v>
      </c>
      <c r="G1161" s="21" t="s">
        <v>77</v>
      </c>
      <c r="H1161" s="22">
        <v>75</v>
      </c>
      <c r="I1161" s="22">
        <f>Table1[[#This Row],[Total Weight Imported (lbs)]]*0.453592</f>
        <v>34.019399999999997</v>
      </c>
      <c r="J1161" s="23">
        <v>115.5</v>
      </c>
      <c r="K1161" s="1"/>
    </row>
    <row r="1162" spans="1:11" ht="15.75" customHeight="1">
      <c r="A1162" s="28" t="s">
        <v>269</v>
      </c>
      <c r="B1162" s="28" t="s">
        <v>28</v>
      </c>
      <c r="C1162" s="28" t="s">
        <v>14</v>
      </c>
      <c r="D1162" s="28" t="str">
        <f>VLOOKUP(Table1[[#This Row],[Point of Origin]],Table2[#All],2,0)</f>
        <v>USA</v>
      </c>
      <c r="E1162" s="28" t="str">
        <f>VLOOKUP(Table1[[#This Row],[Point of Origin]],Table2[#All],3,0)</f>
        <v>Domestic</v>
      </c>
      <c r="F1162" s="28" t="s">
        <v>82</v>
      </c>
      <c r="G1162" s="21" t="s">
        <v>20</v>
      </c>
      <c r="H1162" s="22">
        <f>7700+3668</f>
        <v>11368</v>
      </c>
      <c r="I1162" s="22">
        <f>Table1[[#This Row],[Total Weight Imported (lbs)]]*0.453592</f>
        <v>5156.4338559999997</v>
      </c>
      <c r="J1162" s="23">
        <f>4562+0.6+3914.28</f>
        <v>8476.880000000001</v>
      </c>
      <c r="K1162" s="41"/>
    </row>
    <row r="1163" spans="1:11" ht="15.75" customHeight="1">
      <c r="A1163" s="28" t="s">
        <v>269</v>
      </c>
      <c r="B1163" s="28" t="s">
        <v>28</v>
      </c>
      <c r="C1163" s="28" t="s">
        <v>14</v>
      </c>
      <c r="D1163" s="28" t="str">
        <f>VLOOKUP(Table1[[#This Row],[Point of Origin]],Table2[#All],2,0)</f>
        <v>USA</v>
      </c>
      <c r="E1163" s="28" t="str">
        <f>VLOOKUP(Table1[[#This Row],[Point of Origin]],Table2[#All],3,0)</f>
        <v>Domestic</v>
      </c>
      <c r="F1163" s="28" t="s">
        <v>19</v>
      </c>
      <c r="G1163" s="21" t="s">
        <v>20</v>
      </c>
      <c r="H1163" s="22">
        <f>1288</f>
        <v>1288</v>
      </c>
      <c r="I1163" s="22">
        <f>Table1[[#This Row],[Total Weight Imported (lbs)]]*0.453592</f>
        <v>584.226496</v>
      </c>
      <c r="J1163" s="23">
        <f>1867.6</f>
        <v>1867.6</v>
      </c>
      <c r="K1163" s="41"/>
    </row>
    <row r="1164" spans="1:11" ht="15.75" customHeight="1">
      <c r="A1164" s="28" t="s">
        <v>269</v>
      </c>
      <c r="B1164" s="28" t="s">
        <v>28</v>
      </c>
      <c r="C1164" s="28" t="s">
        <v>14</v>
      </c>
      <c r="D1164" s="28" t="str">
        <f>VLOOKUP(Table1[[#This Row],[Point of Origin]],Table2[#All],2,0)</f>
        <v>USA</v>
      </c>
      <c r="E1164" s="28" t="str">
        <f>VLOOKUP(Table1[[#This Row],[Point of Origin]],Table2[#All],3,0)</f>
        <v>Domestic</v>
      </c>
      <c r="F1164" s="36" t="s">
        <v>56</v>
      </c>
      <c r="G1164" s="21" t="s">
        <v>57</v>
      </c>
      <c r="H1164" s="22">
        <f>5044+575+108</f>
        <v>5727</v>
      </c>
      <c r="I1164" s="22">
        <f>Table1[[#This Row],[Total Weight Imported (lbs)]]*0.453592</f>
        <v>2597.7213839999999</v>
      </c>
      <c r="J1164" s="23">
        <f>2279.5+612.5+255</f>
        <v>3147</v>
      </c>
      <c r="K1164" s="41"/>
    </row>
    <row r="1165" spans="1:11" ht="15.75" customHeight="1">
      <c r="A1165" s="28" t="s">
        <v>269</v>
      </c>
      <c r="B1165" s="28" t="s">
        <v>28</v>
      </c>
      <c r="C1165" s="28" t="s">
        <v>14</v>
      </c>
      <c r="D1165" s="28" t="str">
        <f>VLOOKUP(Table1[[#This Row],[Point of Origin]],Table2[#All],2,0)</f>
        <v>USA</v>
      </c>
      <c r="E1165" s="28" t="str">
        <f>VLOOKUP(Table1[[#This Row],[Point of Origin]],Table2[#All],3,0)</f>
        <v>Domestic</v>
      </c>
      <c r="F1165" s="28" t="s">
        <v>59</v>
      </c>
      <c r="G1165" s="21" t="s">
        <v>60</v>
      </c>
      <c r="H1165" s="22">
        <f>1309+3040+1050+4851+60+986</f>
        <v>11296</v>
      </c>
      <c r="I1165" s="22">
        <f>Table1[[#This Row],[Total Weight Imported (lbs)]]*0.453592</f>
        <v>5123.775232</v>
      </c>
      <c r="J1165" s="23">
        <f>1867.25+2970.4+1375.08+4014.57+123.84+1018.48</f>
        <v>11369.619999999999</v>
      </c>
      <c r="K1165" s="41"/>
    </row>
    <row r="1166" spans="1:11" ht="15.75" customHeight="1">
      <c r="A1166" s="20" t="s">
        <v>270</v>
      </c>
      <c r="B1166" s="20" t="s">
        <v>14</v>
      </c>
      <c r="C1166" s="20" t="s">
        <v>14</v>
      </c>
      <c r="D1166" s="20" t="str">
        <f>VLOOKUP(Table1[[#This Row],[Point of Origin]],Table2[#All],2,0)</f>
        <v>USA</v>
      </c>
      <c r="E1166" s="20" t="str">
        <f>VLOOKUP(Table1[[#This Row],[Point of Origin]],Table2[#All],3,0)</f>
        <v>Domestic</v>
      </c>
      <c r="F1166" s="20" t="s">
        <v>121</v>
      </c>
      <c r="G1166" s="21" t="s">
        <v>122</v>
      </c>
      <c r="H1166" s="22">
        <f>80+320+40+60+64+156+192+48+84+36</f>
        <v>1080</v>
      </c>
      <c r="I1166" s="22">
        <f>Table1[[#This Row],[Total Weight Imported (lbs)]]*0.453592</f>
        <v>489.87936000000002</v>
      </c>
      <c r="J1166" s="23">
        <f>467.21+184.92+319.37+519.78+624.37+120.75+267.58+120.8</f>
        <v>2624.78</v>
      </c>
      <c r="K1166" s="1"/>
    </row>
    <row r="1167" spans="1:11" ht="15.75" customHeight="1">
      <c r="A1167" s="20" t="s">
        <v>270</v>
      </c>
      <c r="B1167" s="20" t="s">
        <v>14</v>
      </c>
      <c r="C1167" s="20" t="s">
        <v>14</v>
      </c>
      <c r="D1167" s="20" t="str">
        <f>VLOOKUP(Table1[[#This Row],[Point of Origin]],Table2[#All],2,0)</f>
        <v>USA</v>
      </c>
      <c r="E1167" s="20" t="str">
        <f>VLOOKUP(Table1[[#This Row],[Point of Origin]],Table2[#All],3,0)</f>
        <v>Domestic</v>
      </c>
      <c r="F1167" s="20" t="s">
        <v>121</v>
      </c>
      <c r="G1167" s="21" t="s">
        <v>122</v>
      </c>
      <c r="H1167" s="22">
        <f>(3*36)+40</f>
        <v>148</v>
      </c>
      <c r="I1167" s="22">
        <f>Table1[[#This Row],[Total Weight Imported (lbs)]]*0.453592</f>
        <v>67.131615999999994</v>
      </c>
      <c r="J1167" s="23">
        <f>127.07+45.92</f>
        <v>172.99</v>
      </c>
      <c r="K1167" s="1"/>
    </row>
    <row r="1168" spans="1:11" ht="15.75" customHeight="1">
      <c r="A1168" s="20" t="s">
        <v>270</v>
      </c>
      <c r="B1168" s="20" t="s">
        <v>46</v>
      </c>
      <c r="C1168" s="20" t="s">
        <v>46</v>
      </c>
      <c r="D1168" s="20" t="str">
        <f>VLOOKUP(Table1[[#This Row],[Point of Origin]],Table2[#All],2,0)</f>
        <v>Mexico</v>
      </c>
      <c r="E1168" s="20" t="str">
        <f>VLOOKUP(Table1[[#This Row],[Point of Origin]],Table2[#All],3,0)</f>
        <v>International</v>
      </c>
      <c r="F1168" s="27" t="s">
        <v>147</v>
      </c>
      <c r="G1168" s="21" t="s">
        <v>138</v>
      </c>
      <c r="H1168" s="22">
        <f>101+40+12</f>
        <v>153</v>
      </c>
      <c r="I1168" s="22">
        <f>Table1[[#This Row],[Total Weight Imported (lbs)]]*0.453592</f>
        <v>69.399575999999996</v>
      </c>
      <c r="J1168" s="23">
        <f>75.91+69.29+40.59</f>
        <v>185.79</v>
      </c>
      <c r="K1168" s="41"/>
    </row>
    <row r="1169" spans="1:11" ht="15.75" customHeight="1">
      <c r="A1169" s="20" t="s">
        <v>270</v>
      </c>
      <c r="B1169" s="20" t="s">
        <v>244</v>
      </c>
      <c r="C1169" s="20" t="s">
        <v>244</v>
      </c>
      <c r="D1169" s="20" t="str">
        <f>VLOOKUP(Table1[[#This Row],[Point of Origin]],Table2[#All],2,0)</f>
        <v>Chile</v>
      </c>
      <c r="E1169" s="20" t="str">
        <f>VLOOKUP(Table1[[#This Row],[Point of Origin]],Table2[#All],3,0)</f>
        <v>International</v>
      </c>
      <c r="F1169" s="27" t="s">
        <v>71</v>
      </c>
      <c r="G1169" s="21" t="s">
        <v>72</v>
      </c>
      <c r="H1169" s="22">
        <f>612</f>
        <v>612</v>
      </c>
      <c r="I1169" s="22">
        <f>Table1[[#This Row],[Total Weight Imported (lbs)]]*0.453592</f>
        <v>277.59830399999998</v>
      </c>
      <c r="J1169" s="23">
        <f>1708.43</f>
        <v>1708.43</v>
      </c>
      <c r="K1169" s="41"/>
    </row>
    <row r="1170" spans="1:11" ht="15.75" customHeight="1">
      <c r="A1170" s="20" t="s">
        <v>270</v>
      </c>
      <c r="B1170" s="20" t="s">
        <v>244</v>
      </c>
      <c r="C1170" s="20" t="s">
        <v>244</v>
      </c>
      <c r="D1170" s="20" t="str">
        <f>VLOOKUP(Table1[[#This Row],[Point of Origin]],Table2[#All],2,0)</f>
        <v>Chile</v>
      </c>
      <c r="E1170" s="20" t="str">
        <f>VLOOKUP(Table1[[#This Row],[Point of Origin]],Table2[#All],3,0)</f>
        <v>International</v>
      </c>
      <c r="F1170" s="27" t="s">
        <v>71</v>
      </c>
      <c r="G1170" s="21" t="s">
        <v>72</v>
      </c>
      <c r="H1170" s="22">
        <f>774</f>
        <v>774</v>
      </c>
      <c r="I1170" s="22">
        <f>Table1[[#This Row],[Total Weight Imported (lbs)]]*0.453592</f>
        <v>351.08020799999997</v>
      </c>
      <c r="J1170" s="23">
        <f>2160.66</f>
        <v>2160.66</v>
      </c>
      <c r="K1170" s="41"/>
    </row>
    <row r="1171" spans="1:11" ht="15.75" customHeight="1">
      <c r="A1171" s="20" t="s">
        <v>270</v>
      </c>
      <c r="B1171" s="20" t="s">
        <v>14</v>
      </c>
      <c r="C1171" s="20" t="s">
        <v>14</v>
      </c>
      <c r="D1171" s="20" t="str">
        <f>VLOOKUP(Table1[[#This Row],[Point of Origin]],Table2[#All],2,0)</f>
        <v>USA</v>
      </c>
      <c r="E1171" s="20" t="str">
        <f>VLOOKUP(Table1[[#This Row],[Point of Origin]],Table2[#All],3,0)</f>
        <v>Domestic</v>
      </c>
      <c r="F1171" s="27" t="s">
        <v>157</v>
      </c>
      <c r="G1171" s="21" t="s">
        <v>127</v>
      </c>
      <c r="H1171" s="22">
        <f>315</f>
        <v>315</v>
      </c>
      <c r="I1171" s="22">
        <f>Table1[[#This Row],[Total Weight Imported (lbs)]]*0.453592</f>
        <v>142.88148000000001</v>
      </c>
      <c r="J1171" s="23">
        <f>253.11</f>
        <v>253.11</v>
      </c>
      <c r="K1171" s="41"/>
    </row>
    <row r="1172" spans="1:11" ht="15.75" customHeight="1">
      <c r="A1172" s="20" t="s">
        <v>270</v>
      </c>
      <c r="B1172" s="20" t="s">
        <v>14</v>
      </c>
      <c r="C1172" s="20" t="s">
        <v>14</v>
      </c>
      <c r="D1172" s="20" t="str">
        <f>VLOOKUP(Table1[[#This Row],[Point of Origin]],Table2[#All],2,0)</f>
        <v>USA</v>
      </c>
      <c r="E1172" s="20" t="str">
        <f>VLOOKUP(Table1[[#This Row],[Point of Origin]],Table2[#All],3,0)</f>
        <v>Domestic</v>
      </c>
      <c r="F1172" s="27" t="s">
        <v>137</v>
      </c>
      <c r="G1172" s="21" t="s">
        <v>138</v>
      </c>
      <c r="H1172" s="22">
        <f>109+(2*144)</f>
        <v>397</v>
      </c>
      <c r="I1172" s="22">
        <f>Table1[[#This Row],[Total Weight Imported (lbs)]]*0.453592</f>
        <v>180.07602399999999</v>
      </c>
      <c r="J1172" s="23">
        <f>364.71+386.72</f>
        <v>751.43000000000006</v>
      </c>
      <c r="K1172" s="1"/>
    </row>
    <row r="1173" spans="1:11" ht="15.75" customHeight="1">
      <c r="A1173" s="20" t="s">
        <v>270</v>
      </c>
      <c r="B1173" s="20" t="s">
        <v>46</v>
      </c>
      <c r="C1173" s="20" t="s">
        <v>46</v>
      </c>
      <c r="D1173" s="20" t="str">
        <f>VLOOKUP(Table1[[#This Row],[Point of Origin]],Table2[#All],2,0)</f>
        <v>Mexico</v>
      </c>
      <c r="E1173" s="20" t="str">
        <f>VLOOKUP(Table1[[#This Row],[Point of Origin]],Table2[#All],3,0)</f>
        <v>International</v>
      </c>
      <c r="F1173" s="27" t="s">
        <v>137</v>
      </c>
      <c r="G1173" s="21" t="s">
        <v>138</v>
      </c>
      <c r="H1173" s="22">
        <f>(2*36)</f>
        <v>72</v>
      </c>
      <c r="I1173" s="22">
        <f>Table1[[#This Row],[Total Weight Imported (lbs)]]*0.453592</f>
        <v>32.658624000000003</v>
      </c>
      <c r="J1173" s="23">
        <f>95.15</f>
        <v>95.15</v>
      </c>
      <c r="K1173" s="1"/>
    </row>
    <row r="1174" spans="1:11" ht="15.75" customHeight="1">
      <c r="A1174" s="20" t="s">
        <v>270</v>
      </c>
      <c r="B1174" s="20" t="s">
        <v>244</v>
      </c>
      <c r="C1174" s="20" t="s">
        <v>244</v>
      </c>
      <c r="D1174" s="20" t="str">
        <f>VLOOKUP(Table1[[#This Row],[Point of Origin]],Table2[#All],2,0)</f>
        <v>Chile</v>
      </c>
      <c r="E1174" s="20" t="str">
        <f>VLOOKUP(Table1[[#This Row],[Point of Origin]],Table2[#All],3,0)</f>
        <v>International</v>
      </c>
      <c r="F1174" s="20" t="s">
        <v>154</v>
      </c>
      <c r="G1174" s="21" t="s">
        <v>155</v>
      </c>
      <c r="H1174" s="22">
        <f>40</f>
        <v>40</v>
      </c>
      <c r="I1174" s="22">
        <f>Table1[[#This Row],[Total Weight Imported (lbs)]]*0.453592</f>
        <v>18.14368</v>
      </c>
      <c r="J1174" s="23">
        <f>69.12</f>
        <v>69.12</v>
      </c>
      <c r="K1174" s="1"/>
    </row>
    <row r="1175" spans="1:11" ht="15.75" customHeight="1">
      <c r="A1175" s="20" t="s">
        <v>270</v>
      </c>
      <c r="B1175" s="20" t="s">
        <v>14</v>
      </c>
      <c r="C1175" s="20" t="s">
        <v>14</v>
      </c>
      <c r="D1175" s="20" t="str">
        <f>VLOOKUP(Table1[[#This Row],[Point of Origin]],Table2[#All],2,0)</f>
        <v>USA</v>
      </c>
      <c r="E1175" s="20" t="str">
        <f>VLOOKUP(Table1[[#This Row],[Point of Origin]],Table2[#All],3,0)</f>
        <v>Domestic</v>
      </c>
      <c r="F1175" s="20" t="s">
        <v>154</v>
      </c>
      <c r="G1175" s="21" t="s">
        <v>155</v>
      </c>
      <c r="H1175" s="22">
        <f>44+(2*72)</f>
        <v>188</v>
      </c>
      <c r="I1175" s="22">
        <f>Table1[[#This Row],[Total Weight Imported (lbs)]]*0.453592</f>
        <v>85.275295999999997</v>
      </c>
      <c r="J1175" s="23">
        <f>68.92+229.36</f>
        <v>298.28000000000003</v>
      </c>
      <c r="K1175" s="1"/>
    </row>
    <row r="1176" spans="1:11" ht="15.75" customHeight="1">
      <c r="A1176" s="20" t="s">
        <v>270</v>
      </c>
      <c r="B1176" s="20" t="s">
        <v>14</v>
      </c>
      <c r="C1176" s="20" t="s">
        <v>14</v>
      </c>
      <c r="D1176" s="20" t="str">
        <f>VLOOKUP(Table1[[#This Row],[Point of Origin]],Table2[#All],2,0)</f>
        <v>USA</v>
      </c>
      <c r="E1176" s="20" t="str">
        <f>VLOOKUP(Table1[[#This Row],[Point of Origin]],Table2[#All],3,0)</f>
        <v>Domestic</v>
      </c>
      <c r="F1176" s="27" t="s">
        <v>139</v>
      </c>
      <c r="G1176" s="21" t="s">
        <v>140</v>
      </c>
      <c r="H1176" s="22">
        <f>105+(2*190)+60</f>
        <v>545</v>
      </c>
      <c r="I1176" s="22">
        <f>Table1[[#This Row],[Total Weight Imported (lbs)]]*0.453592</f>
        <v>247.20764</v>
      </c>
      <c r="J1176" s="23">
        <f>81.14+981.24+154.37</f>
        <v>1216.75</v>
      </c>
      <c r="K1176" s="41"/>
    </row>
    <row r="1177" spans="1:11" ht="15.75" customHeight="1">
      <c r="A1177" s="20" t="s">
        <v>270</v>
      </c>
      <c r="B1177" s="20" t="s">
        <v>46</v>
      </c>
      <c r="C1177" s="20" t="s">
        <v>46</v>
      </c>
      <c r="D1177" s="20" t="str">
        <f>VLOOKUP(Table1[[#This Row],[Point of Origin]],Table2[#All],2,0)</f>
        <v>Mexico</v>
      </c>
      <c r="E1177" s="20" t="str">
        <f>VLOOKUP(Table1[[#This Row],[Point of Origin]],Table2[#All],3,0)</f>
        <v>International</v>
      </c>
      <c r="F1177" s="20" t="s">
        <v>21</v>
      </c>
      <c r="G1177" s="21" t="s">
        <v>22</v>
      </c>
      <c r="H1177" s="22">
        <f>25</f>
        <v>25</v>
      </c>
      <c r="I1177" s="22">
        <f>Table1[[#This Row],[Total Weight Imported (lbs)]]*0.453592</f>
        <v>11.3398</v>
      </c>
      <c r="J1177" s="23">
        <f>36.54</f>
        <v>36.54</v>
      </c>
      <c r="K1177" s="41"/>
    </row>
    <row r="1178" spans="1:11" ht="15.75" customHeight="1">
      <c r="A1178" s="20" t="s">
        <v>270</v>
      </c>
      <c r="B1178" s="20" t="s">
        <v>271</v>
      </c>
      <c r="C1178" s="20" t="s">
        <v>271</v>
      </c>
      <c r="D1178" s="20" t="str">
        <f>VLOOKUP(Table1[[#This Row],[Point of Origin]],Table2[#All],2,0)</f>
        <v>China</v>
      </c>
      <c r="E1178" s="20" t="str">
        <f>VLOOKUP(Table1[[#This Row],[Point of Origin]],Table2[#All],3,0)</f>
        <v>International</v>
      </c>
      <c r="F1178" s="27" t="s">
        <v>163</v>
      </c>
      <c r="G1178" s="21" t="s">
        <v>164</v>
      </c>
      <c r="H1178" s="22">
        <f>210</f>
        <v>210</v>
      </c>
      <c r="I1178" s="22">
        <f>Table1[[#This Row],[Total Weight Imported (lbs)]]*0.453592</f>
        <v>95.254319999999993</v>
      </c>
      <c r="J1178" s="23">
        <f>455.17</f>
        <v>455.17</v>
      </c>
      <c r="K1178" s="41"/>
    </row>
    <row r="1179" spans="1:11" ht="15.75" customHeight="1">
      <c r="A1179" s="20" t="s">
        <v>270</v>
      </c>
      <c r="B1179" s="20" t="s">
        <v>14</v>
      </c>
      <c r="C1179" s="20" t="s">
        <v>14</v>
      </c>
      <c r="D1179" s="20" t="str">
        <f>VLOOKUP(Table1[[#This Row],[Point of Origin]],Table2[#All],2,0)</f>
        <v>USA</v>
      </c>
      <c r="E1179" s="20" t="str">
        <f>VLOOKUP(Table1[[#This Row],[Point of Origin]],Table2[#All],3,0)</f>
        <v>Domestic</v>
      </c>
      <c r="F1179" s="20" t="s">
        <v>76</v>
      </c>
      <c r="G1179" s="21" t="s">
        <v>77</v>
      </c>
      <c r="H1179" s="22">
        <v>75</v>
      </c>
      <c r="I1179" s="22">
        <f>Table1[[#This Row],[Total Weight Imported (lbs)]]*0.453592</f>
        <v>34.019399999999997</v>
      </c>
      <c r="J1179" s="23">
        <v>115.5</v>
      </c>
      <c r="K1179" s="1"/>
    </row>
    <row r="1180" spans="1:11" ht="15.75" customHeight="1">
      <c r="A1180" s="20" t="s">
        <v>270</v>
      </c>
      <c r="B1180" s="20" t="s">
        <v>14</v>
      </c>
      <c r="C1180" s="20" t="s">
        <v>14</v>
      </c>
      <c r="D1180" s="20" t="str">
        <f>VLOOKUP(Table1[[#This Row],[Point of Origin]],Table2[#All],2,0)</f>
        <v>USA</v>
      </c>
      <c r="E1180" s="20" t="str">
        <f>VLOOKUP(Table1[[#This Row],[Point of Origin]],Table2[#All],3,0)</f>
        <v>Domestic</v>
      </c>
      <c r="F1180" s="27" t="s">
        <v>102</v>
      </c>
      <c r="G1180" s="21" t="s">
        <v>32</v>
      </c>
      <c r="H1180" s="22">
        <f>6+6</f>
        <v>12</v>
      </c>
      <c r="I1180" s="22">
        <f>Table1[[#This Row],[Total Weight Imported (lbs)]]*0.453592</f>
        <v>5.4431039999999999</v>
      </c>
      <c r="J1180" s="23">
        <f>19.27+19.27</f>
        <v>38.54</v>
      </c>
      <c r="K1180" s="41"/>
    </row>
    <row r="1181" spans="1:11" ht="15.75" customHeight="1">
      <c r="A1181" s="20" t="s">
        <v>270</v>
      </c>
      <c r="B1181" s="20" t="s">
        <v>14</v>
      </c>
      <c r="C1181" s="20" t="s">
        <v>14</v>
      </c>
      <c r="D1181" s="20" t="str">
        <f>VLOOKUP(Table1[[#This Row],[Point of Origin]],Table2[#All],2,0)</f>
        <v>USA</v>
      </c>
      <c r="E1181" s="20" t="str">
        <f>VLOOKUP(Table1[[#This Row],[Point of Origin]],Table2[#All],3,0)</f>
        <v>Domestic</v>
      </c>
      <c r="F1181" s="20" t="s">
        <v>124</v>
      </c>
      <c r="G1181" s="21" t="s">
        <v>30</v>
      </c>
      <c r="H1181" s="22">
        <f>25</f>
        <v>25</v>
      </c>
      <c r="I1181" s="22">
        <f>Table1[[#This Row],[Total Weight Imported (lbs)]]*0.453592</f>
        <v>11.3398</v>
      </c>
      <c r="J1181" s="23">
        <f>35.23</f>
        <v>35.229999999999997</v>
      </c>
      <c r="K1181" s="41"/>
    </row>
    <row r="1182" spans="1:11" ht="15.75" customHeight="1">
      <c r="A1182" s="20" t="s">
        <v>270</v>
      </c>
      <c r="B1182" s="20" t="s">
        <v>14</v>
      </c>
      <c r="C1182" s="20" t="s">
        <v>14</v>
      </c>
      <c r="D1182" s="20" t="str">
        <f>VLOOKUP(Table1[[#This Row],[Point of Origin]],Table2[#All],2,0)</f>
        <v>USA</v>
      </c>
      <c r="E1182" s="20" t="str">
        <f>VLOOKUP(Table1[[#This Row],[Point of Origin]],Table2[#All],3,0)</f>
        <v>Domestic</v>
      </c>
      <c r="F1182" s="20" t="s">
        <v>19</v>
      </c>
      <c r="G1182" s="21" t="s">
        <v>20</v>
      </c>
      <c r="H1182" s="22">
        <f>300+12</f>
        <v>312</v>
      </c>
      <c r="I1182" s="22">
        <f>Table1[[#This Row],[Total Weight Imported (lbs)]]*0.453592</f>
        <v>141.52070399999999</v>
      </c>
      <c r="J1182" s="23">
        <f>704.41+39.02</f>
        <v>743.43</v>
      </c>
      <c r="K1182" s="41"/>
    </row>
    <row r="1183" spans="1:11" ht="15.75" customHeight="1">
      <c r="A1183" s="20" t="s">
        <v>270</v>
      </c>
      <c r="B1183" s="20" t="s">
        <v>14</v>
      </c>
      <c r="C1183" s="20" t="s">
        <v>14</v>
      </c>
      <c r="D1183" s="20" t="str">
        <f>VLOOKUP(Table1[[#This Row],[Point of Origin]],Table2[#All],2,0)</f>
        <v>USA</v>
      </c>
      <c r="E1183" s="20" t="str">
        <f>VLOOKUP(Table1[[#This Row],[Point of Origin]],Table2[#All],3,0)</f>
        <v>Domestic</v>
      </c>
      <c r="F1183" s="20" t="s">
        <v>82</v>
      </c>
      <c r="G1183" s="21" t="s">
        <v>20</v>
      </c>
      <c r="H1183" s="22">
        <f>180+675+135+90</f>
        <v>1080</v>
      </c>
      <c r="I1183" s="22">
        <f>Table1[[#This Row],[Total Weight Imported (lbs)]]*0.453592</f>
        <v>489.87936000000002</v>
      </c>
      <c r="J1183" s="23">
        <f>235.35+689.55+142.36+100.78</f>
        <v>1168.04</v>
      </c>
      <c r="K1183" s="41"/>
    </row>
    <row r="1184" spans="1:11" ht="15.75" customHeight="1">
      <c r="A1184" s="20" t="s">
        <v>270</v>
      </c>
      <c r="B1184" s="20" t="s">
        <v>14</v>
      </c>
      <c r="C1184" s="20" t="s">
        <v>14</v>
      </c>
      <c r="D1184" s="20" t="str">
        <f>VLOOKUP(Table1[[#This Row],[Point of Origin]],Table2[#All],2,0)</f>
        <v>USA</v>
      </c>
      <c r="E1184" s="20" t="str">
        <f>VLOOKUP(Table1[[#This Row],[Point of Origin]],Table2[#All],3,0)</f>
        <v>Domestic</v>
      </c>
      <c r="F1184" s="27" t="s">
        <v>141</v>
      </c>
      <c r="G1184" s="21" t="s">
        <v>142</v>
      </c>
      <c r="H1184" s="22">
        <f>700+150+90+90+(5*10)+50+(5*70)+30+30+24</f>
        <v>1564</v>
      </c>
      <c r="I1184" s="22">
        <f>Table1[[#This Row],[Total Weight Imported (lbs)]]*0.453592</f>
        <v>709.41788799999995</v>
      </c>
      <c r="J1184" s="23">
        <f>440.34+142.21+292.08+566.15+33.45+52.4+234.17+93.72+97.32+221.76</f>
        <v>2173.6</v>
      </c>
      <c r="K1184" s="41"/>
    </row>
    <row r="1185" spans="1:11" ht="15.75" customHeight="1">
      <c r="A1185" s="20" t="s">
        <v>270</v>
      </c>
      <c r="B1185" s="20" t="s">
        <v>14</v>
      </c>
      <c r="C1185" s="20" t="s">
        <v>14</v>
      </c>
      <c r="D1185" s="20" t="str">
        <f>VLOOKUP(Table1[[#This Row],[Point of Origin]],Table2[#All],2,0)</f>
        <v>USA</v>
      </c>
      <c r="E1185" s="20" t="str">
        <f>VLOOKUP(Table1[[#This Row],[Point of Origin]],Table2[#All],3,0)</f>
        <v>Domestic</v>
      </c>
      <c r="F1185" s="20" t="s">
        <v>128</v>
      </c>
      <c r="G1185" s="21" t="s">
        <v>129</v>
      </c>
      <c r="H1185" s="22">
        <f>160</f>
        <v>160</v>
      </c>
      <c r="I1185" s="22">
        <f>Table1[[#This Row],[Total Weight Imported (lbs)]]*0.453592</f>
        <v>72.574719999999999</v>
      </c>
      <c r="J1185" s="23">
        <f>197.16</f>
        <v>197.16</v>
      </c>
      <c r="K1185" s="41"/>
    </row>
    <row r="1186" spans="1:11" ht="15.75" customHeight="1">
      <c r="A1186" s="20" t="s">
        <v>270</v>
      </c>
      <c r="B1186" s="20" t="s">
        <v>14</v>
      </c>
      <c r="C1186" s="20" t="s">
        <v>14</v>
      </c>
      <c r="D1186" s="20" t="str">
        <f>VLOOKUP(Table1[[#This Row],[Point of Origin]],Table2[#All],2,0)</f>
        <v>USA</v>
      </c>
      <c r="E1186" s="20" t="str">
        <f>VLOOKUP(Table1[[#This Row],[Point of Origin]],Table2[#All],3,0)</f>
        <v>Domestic</v>
      </c>
      <c r="F1186" s="27" t="s">
        <v>135</v>
      </c>
      <c r="G1186" s="21" t="s">
        <v>136</v>
      </c>
      <c r="H1186" s="22">
        <f>(48*48)</f>
        <v>2304</v>
      </c>
      <c r="I1186" s="22">
        <f>Table1[[#This Row],[Total Weight Imported (lbs)]]*0.453592</f>
        <v>1045.0759680000001</v>
      </c>
      <c r="J1186" s="23">
        <f>188.25</f>
        <v>188.25</v>
      </c>
      <c r="K1186" s="41"/>
    </row>
    <row r="1187" spans="1:11" ht="15.75" customHeight="1">
      <c r="A1187" s="20" t="s">
        <v>270</v>
      </c>
      <c r="B1187" s="20" t="s">
        <v>14</v>
      </c>
      <c r="C1187" s="20" t="s">
        <v>14</v>
      </c>
      <c r="D1187" s="20" t="str">
        <f>VLOOKUP(Table1[[#This Row],[Point of Origin]],Table2[#All],2,0)</f>
        <v>USA</v>
      </c>
      <c r="E1187" s="20" t="str">
        <f>VLOOKUP(Table1[[#This Row],[Point of Origin]],Table2[#All],3,0)</f>
        <v>Domestic</v>
      </c>
      <c r="F1187" s="20" t="s">
        <v>40</v>
      </c>
      <c r="G1187" s="21" t="s">
        <v>41</v>
      </c>
      <c r="H1187" s="22">
        <f>(32*40)+(2*96)+(5*20)+(16*120)+48+(2*48)</f>
        <v>3636</v>
      </c>
      <c r="I1187" s="22">
        <f>Table1[[#This Row],[Total Weight Imported (lbs)]]*0.453592</f>
        <v>1649.2605120000001</v>
      </c>
      <c r="J1187" s="23">
        <f>77.78+155.44+78.91+142.5+77.41+94.52</f>
        <v>626.55999999999995</v>
      </c>
      <c r="K1187" s="41"/>
    </row>
    <row r="1188" spans="1:11" ht="15.75" customHeight="1">
      <c r="A1188" s="20" t="s">
        <v>270</v>
      </c>
      <c r="B1188" s="20" t="s">
        <v>46</v>
      </c>
      <c r="C1188" s="20" t="s">
        <v>46</v>
      </c>
      <c r="D1188" s="20" t="str">
        <f>VLOOKUP(Table1[[#This Row],[Point of Origin]],Table2[#All],2,0)</f>
        <v>Mexico</v>
      </c>
      <c r="E1188" s="20" t="str">
        <f>VLOOKUP(Table1[[#This Row],[Point of Origin]],Table2[#All],3,0)</f>
        <v>International</v>
      </c>
      <c r="F1188" s="20" t="s">
        <v>67</v>
      </c>
      <c r="G1188" s="21" t="s">
        <v>68</v>
      </c>
      <c r="H1188" s="22">
        <f>169</f>
        <v>169</v>
      </c>
      <c r="I1188" s="22">
        <f>Table1[[#This Row],[Total Weight Imported (lbs)]]*0.453592</f>
        <v>76.657048000000003</v>
      </c>
      <c r="J1188" s="23">
        <f>605.94</f>
        <v>605.94000000000005</v>
      </c>
      <c r="K1188" s="41"/>
    </row>
    <row r="1189" spans="1:11" ht="15.75" customHeight="1">
      <c r="A1189" s="20" t="s">
        <v>270</v>
      </c>
      <c r="B1189" s="20" t="s">
        <v>14</v>
      </c>
      <c r="C1189" s="20" t="s">
        <v>14</v>
      </c>
      <c r="D1189" s="20" t="str">
        <f>VLOOKUP(Table1[[#This Row],[Point of Origin]],Table2[#All],2,0)</f>
        <v>USA</v>
      </c>
      <c r="E1189" s="20" t="str">
        <f>VLOOKUP(Table1[[#This Row],[Point of Origin]],Table2[#All],3,0)</f>
        <v>Domestic</v>
      </c>
      <c r="F1189" s="20" t="s">
        <v>130</v>
      </c>
      <c r="G1189" s="21" t="s">
        <v>131</v>
      </c>
      <c r="H1189" s="22">
        <f>(3*650)</f>
        <v>1950</v>
      </c>
      <c r="I1189" s="22">
        <f>Table1[[#This Row],[Total Weight Imported (lbs)]]*0.453592</f>
        <v>884.50440000000003</v>
      </c>
      <c r="J1189" s="23">
        <f>4578.68</f>
        <v>4578.68</v>
      </c>
      <c r="K1189" s="1"/>
    </row>
    <row r="1190" spans="1:11" ht="15.75" customHeight="1">
      <c r="A1190" s="20" t="s">
        <v>270</v>
      </c>
      <c r="B1190" s="20" t="s">
        <v>14</v>
      </c>
      <c r="C1190" s="20" t="s">
        <v>14</v>
      </c>
      <c r="D1190" s="20" t="str">
        <f>VLOOKUP(Table1[[#This Row],[Point of Origin]],Table2[#All],2,0)</f>
        <v>USA</v>
      </c>
      <c r="E1190" s="20" t="str">
        <f>VLOOKUP(Table1[[#This Row],[Point of Origin]],Table2[#All],3,0)</f>
        <v>Domestic</v>
      </c>
      <c r="F1190" s="20" t="s">
        <v>59</v>
      </c>
      <c r="G1190" s="21" t="s">
        <v>60</v>
      </c>
      <c r="H1190" s="22">
        <f>81+126+17+192+120</f>
        <v>536</v>
      </c>
      <c r="I1190" s="22">
        <f>Table1[[#This Row],[Total Weight Imported (lbs)]]*0.453592</f>
        <v>243.12531200000001</v>
      </c>
      <c r="J1190" s="23">
        <f>198.43+320.74+27.32+702.55+519.61</f>
        <v>1768.65</v>
      </c>
      <c r="K1190" s="1"/>
    </row>
    <row r="1191" spans="1:11" ht="15.75" customHeight="1">
      <c r="A1191" s="20" t="s">
        <v>270</v>
      </c>
      <c r="B1191" s="20" t="s">
        <v>14</v>
      </c>
      <c r="C1191" s="20" t="s">
        <v>14</v>
      </c>
      <c r="D1191" s="20" t="str">
        <f>VLOOKUP(Table1[[#This Row],[Point of Origin]],Table2[#All],2,0)</f>
        <v>USA</v>
      </c>
      <c r="E1191" s="20" t="str">
        <f>VLOOKUP(Table1[[#This Row],[Point of Origin]],Table2[#All],3,0)</f>
        <v>Domestic</v>
      </c>
      <c r="F1191" s="20" t="s">
        <v>15</v>
      </c>
      <c r="G1191" s="21" t="s">
        <v>16</v>
      </c>
      <c r="H1191" s="22">
        <f>132</f>
        <v>132</v>
      </c>
      <c r="I1191" s="22">
        <f>Table1[[#This Row],[Total Weight Imported (lbs)]]*0.453592</f>
        <v>59.874144000000001</v>
      </c>
      <c r="J1191" s="23">
        <f>465.32</f>
        <v>465.32</v>
      </c>
      <c r="K1191" s="41"/>
    </row>
    <row r="1192" spans="1:11" ht="15.75" customHeight="1">
      <c r="A1192" s="20" t="s">
        <v>270</v>
      </c>
      <c r="B1192" s="20" t="s">
        <v>46</v>
      </c>
      <c r="C1192" s="20" t="s">
        <v>46</v>
      </c>
      <c r="D1192" s="20" t="str">
        <f>VLOOKUP(Table1[[#This Row],[Point of Origin]],Table2[#All],2,0)</f>
        <v>Mexico</v>
      </c>
      <c r="E1192" s="20" t="str">
        <f>VLOOKUP(Table1[[#This Row],[Point of Origin]],Table2[#All],3,0)</f>
        <v>International</v>
      </c>
      <c r="F1192" s="20" t="s">
        <v>38</v>
      </c>
      <c r="G1192" s="21" t="s">
        <v>39</v>
      </c>
      <c r="H1192" s="22">
        <f>308+225+60+90+45+(2*120)+15+6</f>
        <v>989</v>
      </c>
      <c r="I1192" s="22">
        <f>Table1[[#This Row],[Total Weight Imported (lbs)]]*0.453592</f>
        <v>448.60248799999999</v>
      </c>
      <c r="J1192" s="23">
        <f>777.75+409.89+122.35+259.28+129.39+282.66+43.85+39.64</f>
        <v>2064.81</v>
      </c>
      <c r="K1192" s="1"/>
    </row>
    <row r="1193" spans="1:11" ht="15.75" customHeight="1">
      <c r="A1193" s="20" t="s">
        <v>270</v>
      </c>
      <c r="B1193" s="20" t="s">
        <v>14</v>
      </c>
      <c r="C1193" s="20" t="s">
        <v>14</v>
      </c>
      <c r="D1193" s="20" t="str">
        <f>VLOOKUP(Table1[[#This Row],[Point of Origin]],Table2[#All],2,0)</f>
        <v>USA</v>
      </c>
      <c r="E1193" s="20" t="str">
        <f>VLOOKUP(Table1[[#This Row],[Point of Origin]],Table2[#All],3,0)</f>
        <v>Domestic</v>
      </c>
      <c r="F1193" s="27" t="s">
        <v>87</v>
      </c>
      <c r="G1193" s="21" t="s">
        <v>20</v>
      </c>
      <c r="H1193" s="22">
        <f>24</f>
        <v>24</v>
      </c>
      <c r="I1193" s="22">
        <f>Table1[[#This Row],[Total Weight Imported (lbs)]]*0.453592</f>
        <v>10.886208</v>
      </c>
      <c r="J1193" s="23">
        <f>26.53</f>
        <v>26.53</v>
      </c>
      <c r="K1193" s="41"/>
    </row>
    <row r="1194" spans="1:11" ht="15.75" customHeight="1">
      <c r="A1194" s="20" t="s">
        <v>270</v>
      </c>
      <c r="B1194" s="20" t="s">
        <v>14</v>
      </c>
      <c r="C1194" s="20" t="s">
        <v>14</v>
      </c>
      <c r="D1194" s="20" t="str">
        <f>VLOOKUP(Table1[[#This Row],[Point of Origin]],Table2[#All],2,0)</f>
        <v>USA</v>
      </c>
      <c r="E1194" s="20" t="str">
        <f>VLOOKUP(Table1[[#This Row],[Point of Origin]],Table2[#All],3,0)</f>
        <v>Domestic</v>
      </c>
      <c r="F1194" s="27" t="s">
        <v>56</v>
      </c>
      <c r="G1194" s="21" t="s">
        <v>57</v>
      </c>
      <c r="H1194" s="22">
        <f>210+60</f>
        <v>270</v>
      </c>
      <c r="I1194" s="22">
        <f>Table1[[#This Row],[Total Weight Imported (lbs)]]*0.453592</f>
        <v>122.46984</v>
      </c>
      <c r="J1194" s="23">
        <f>215.74+92.91</f>
        <v>308.64999999999998</v>
      </c>
      <c r="K1194" s="41"/>
    </row>
    <row r="1195" spans="1:11" ht="15.75" customHeight="1">
      <c r="A1195" s="20" t="s">
        <v>270</v>
      </c>
      <c r="B1195" s="20" t="s">
        <v>14</v>
      </c>
      <c r="C1195" s="20" t="s">
        <v>14</v>
      </c>
      <c r="D1195" s="20" t="str">
        <f>VLOOKUP(Table1[[#This Row],[Point of Origin]],Table2[#All],2,0)</f>
        <v>USA</v>
      </c>
      <c r="E1195" s="20" t="str">
        <f>VLOOKUP(Table1[[#This Row],[Point of Origin]],Table2[#All],3,0)</f>
        <v>Domestic</v>
      </c>
      <c r="F1195" s="20" t="s">
        <v>38</v>
      </c>
      <c r="G1195" s="21" t="s">
        <v>39</v>
      </c>
      <c r="H1195" s="22">
        <f>24</f>
        <v>24</v>
      </c>
      <c r="I1195" s="22">
        <f>Table1[[#This Row],[Total Weight Imported (lbs)]]*0.453592</f>
        <v>10.886208</v>
      </c>
      <c r="J1195" s="23">
        <f>158.58</f>
        <v>158.58000000000001</v>
      </c>
      <c r="K1195" s="41"/>
    </row>
    <row r="1196" spans="1:11" ht="15.75" customHeight="1">
      <c r="A1196" s="20" t="s">
        <v>270</v>
      </c>
      <c r="B1196" s="20" t="s">
        <v>46</v>
      </c>
      <c r="C1196" s="20" t="s">
        <v>46</v>
      </c>
      <c r="D1196" s="20" t="str">
        <f>VLOOKUP(Table1[[#This Row],[Point of Origin]],Table2[#All],2,0)</f>
        <v>Mexico</v>
      </c>
      <c r="E1196" s="20" t="str">
        <f>VLOOKUP(Table1[[#This Row],[Point of Origin]],Table2[#All],3,0)</f>
        <v>International</v>
      </c>
      <c r="F1196" s="20" t="s">
        <v>63</v>
      </c>
      <c r="G1196" s="21" t="s">
        <v>64</v>
      </c>
      <c r="H1196" s="22">
        <f>105</f>
        <v>105</v>
      </c>
      <c r="I1196" s="22">
        <f>Table1[[#This Row],[Total Weight Imported (lbs)]]*0.453592</f>
        <v>47.627159999999996</v>
      </c>
      <c r="J1196" s="23">
        <f>109.67</f>
        <v>109.67</v>
      </c>
      <c r="K1196" s="1"/>
    </row>
    <row r="1197" spans="1:11" ht="15.75" customHeight="1">
      <c r="A1197" s="20" t="s">
        <v>270</v>
      </c>
      <c r="B1197" s="20" t="s">
        <v>272</v>
      </c>
      <c r="C1197" s="20" t="s">
        <v>272</v>
      </c>
      <c r="D1197" s="20" t="str">
        <f>VLOOKUP(Table1[[#This Row],[Point of Origin]],Table2[#All],2,0)</f>
        <v>Peru</v>
      </c>
      <c r="E1197" s="20" t="str">
        <f>VLOOKUP(Table1[[#This Row],[Point of Origin]],Table2[#All],3,0)</f>
        <v>International</v>
      </c>
      <c r="F1197" s="20" t="s">
        <v>48</v>
      </c>
      <c r="G1197" s="21" t="s">
        <v>49</v>
      </c>
      <c r="H1197" s="22">
        <f>231</f>
        <v>231</v>
      </c>
      <c r="I1197" s="22">
        <f>Table1[[#This Row],[Total Weight Imported (lbs)]]*0.453592</f>
        <v>104.779752</v>
      </c>
      <c r="J1197" s="23">
        <f>1085.28</f>
        <v>1085.28</v>
      </c>
      <c r="K1197" s="41"/>
    </row>
    <row r="1198" spans="1:11" ht="15.75" customHeight="1">
      <c r="A1198" s="20" t="s">
        <v>270</v>
      </c>
      <c r="B1198" s="20" t="s">
        <v>273</v>
      </c>
      <c r="C1198" s="20" t="s">
        <v>273</v>
      </c>
      <c r="D1198" s="20" t="str">
        <f>VLOOKUP(Table1[[#This Row],[Point of Origin]],Table2[#All],2,0)</f>
        <v> Costa Rica</v>
      </c>
      <c r="E1198" s="20" t="str">
        <f>VLOOKUP(Table1[[#This Row],[Point of Origin]],Table2[#All],3,0)</f>
        <v>International</v>
      </c>
      <c r="F1198" s="20" t="s">
        <v>159</v>
      </c>
      <c r="G1198" s="21" t="s">
        <v>160</v>
      </c>
      <c r="H1198" s="22">
        <f>154</f>
        <v>154</v>
      </c>
      <c r="I1198" s="22">
        <f>Table1[[#This Row],[Total Weight Imported (lbs)]]*0.453592</f>
        <v>69.853167999999997</v>
      </c>
      <c r="J1198" s="23">
        <f>237.19</f>
        <v>237.19</v>
      </c>
      <c r="K1198" s="1"/>
    </row>
    <row r="1199" spans="1:11" ht="15.75" customHeight="1">
      <c r="A1199" s="20" t="s">
        <v>270</v>
      </c>
      <c r="B1199" s="20" t="s">
        <v>46</v>
      </c>
      <c r="C1199" s="20" t="s">
        <v>46</v>
      </c>
      <c r="D1199" s="20" t="str">
        <f>VLOOKUP(Table1[[#This Row],[Point of Origin]],Table2[#All],2,0)</f>
        <v>Mexico</v>
      </c>
      <c r="E1199" s="20" t="str">
        <f>VLOOKUP(Table1[[#This Row],[Point of Origin]],Table2[#All],3,0)</f>
        <v>International</v>
      </c>
      <c r="F1199" s="20" t="s">
        <v>61</v>
      </c>
      <c r="G1199" s="21" t="s">
        <v>62</v>
      </c>
      <c r="H1199" s="22">
        <f>112+80+(1*120)+(1*80)+149</f>
        <v>541</v>
      </c>
      <c r="I1199" s="22">
        <f>Table1[[#This Row],[Total Weight Imported (lbs)]]*0.453592</f>
        <v>245.393272</v>
      </c>
      <c r="J1199" s="23">
        <f>688.14+134.58+344.3+138.58+295.86</f>
        <v>1601.46</v>
      </c>
      <c r="K1199" s="41"/>
    </row>
    <row r="1200" spans="1:11" ht="15.75" customHeight="1">
      <c r="A1200" s="20" t="s">
        <v>270</v>
      </c>
      <c r="B1200" s="20" t="s">
        <v>14</v>
      </c>
      <c r="C1200" s="20" t="s">
        <v>14</v>
      </c>
      <c r="D1200" s="20" t="str">
        <f>VLOOKUP(Table1[[#This Row],[Point of Origin]],Table2[#All],2,0)</f>
        <v>USA</v>
      </c>
      <c r="E1200" s="20" t="str">
        <f>VLOOKUP(Table1[[#This Row],[Point of Origin]],Table2[#All],3,0)</f>
        <v>Domestic</v>
      </c>
      <c r="F1200" s="20" t="s">
        <v>79</v>
      </c>
      <c r="G1200" s="21" t="s">
        <v>80</v>
      </c>
      <c r="H1200" s="22">
        <f>60</f>
        <v>60</v>
      </c>
      <c r="I1200" s="22">
        <f>Table1[[#This Row],[Total Weight Imported (lbs)]]*0.453592</f>
        <v>27.215519999999998</v>
      </c>
      <c r="J1200" s="23">
        <f>192.71</f>
        <v>192.71</v>
      </c>
      <c r="K1200" s="1"/>
    </row>
    <row r="1201" spans="1:11" ht="15.75" customHeight="1">
      <c r="A1201" s="20" t="s">
        <v>270</v>
      </c>
      <c r="B1201" s="20" t="s">
        <v>14</v>
      </c>
      <c r="C1201" s="20" t="s">
        <v>14</v>
      </c>
      <c r="D1201" s="20" t="str">
        <f>VLOOKUP(Table1[[#This Row],[Point of Origin]],Table2[#All],2,0)</f>
        <v>USA</v>
      </c>
      <c r="E1201" s="20" t="str">
        <f>VLOOKUP(Table1[[#This Row],[Point of Origin]],Table2[#All],3,0)</f>
        <v>Domestic</v>
      </c>
      <c r="F1201" s="20" t="s">
        <v>36</v>
      </c>
      <c r="G1201" s="21" t="s">
        <v>37</v>
      </c>
      <c r="H1201" s="22">
        <f>24</f>
        <v>24</v>
      </c>
      <c r="I1201" s="22">
        <f>Table1[[#This Row],[Total Weight Imported (lbs)]]*0.453592</f>
        <v>10.886208</v>
      </c>
      <c r="J1201" s="23">
        <f>44.51</f>
        <v>44.51</v>
      </c>
      <c r="K1201" s="1"/>
    </row>
    <row r="1202" spans="1:11" ht="15.75" customHeight="1">
      <c r="A1202" s="20" t="s">
        <v>270</v>
      </c>
      <c r="B1202" s="20" t="s">
        <v>271</v>
      </c>
      <c r="C1202" s="20" t="s">
        <v>271</v>
      </c>
      <c r="D1202" s="20" t="str">
        <f>VLOOKUP(Table1[[#This Row],[Point of Origin]],Table2[#All],2,0)</f>
        <v>China</v>
      </c>
      <c r="E1202" s="20" t="str">
        <f>VLOOKUP(Table1[[#This Row],[Point of Origin]],Table2[#All],3,0)</f>
        <v>International</v>
      </c>
      <c r="F1202" s="27" t="s">
        <v>96</v>
      </c>
      <c r="G1202" s="21" t="s">
        <v>97</v>
      </c>
      <c r="H1202" s="22">
        <f>385</f>
        <v>385</v>
      </c>
      <c r="I1202" s="22">
        <f>Table1[[#This Row],[Total Weight Imported (lbs)]]*0.453592</f>
        <v>174.63291999999998</v>
      </c>
      <c r="J1202" s="23">
        <f>671.47</f>
        <v>671.47</v>
      </c>
      <c r="K1202" s="1"/>
    </row>
    <row r="1203" spans="1:11" ht="15.75" customHeight="1">
      <c r="A1203" s="20" t="s">
        <v>270</v>
      </c>
      <c r="B1203" s="20" t="s">
        <v>46</v>
      </c>
      <c r="C1203" s="20" t="s">
        <v>46</v>
      </c>
      <c r="D1203" s="20" t="str">
        <f>VLOOKUP(Table1[[#This Row],[Point of Origin]],Table2[#All],2,0)</f>
        <v>Mexico</v>
      </c>
      <c r="E1203" s="20" t="str">
        <f>VLOOKUP(Table1[[#This Row],[Point of Origin]],Table2[#All],3,0)</f>
        <v>International</v>
      </c>
      <c r="F1203" s="27" t="s">
        <v>96</v>
      </c>
      <c r="G1203" s="21" t="s">
        <v>97</v>
      </c>
      <c r="H1203" s="22">
        <f>24</f>
        <v>24</v>
      </c>
      <c r="I1203" s="22">
        <f>Table1[[#This Row],[Total Weight Imported (lbs)]]*0.453592</f>
        <v>10.886208</v>
      </c>
      <c r="J1203" s="23">
        <f>48.61</f>
        <v>48.61</v>
      </c>
      <c r="K1203" s="1"/>
    </row>
    <row r="1204" spans="1:11" ht="15.75" customHeight="1">
      <c r="A1204" s="20" t="s">
        <v>270</v>
      </c>
      <c r="B1204" s="20" t="s">
        <v>46</v>
      </c>
      <c r="C1204" s="20" t="s">
        <v>46</v>
      </c>
      <c r="D1204" s="20" t="str">
        <f>VLOOKUP(Table1[[#This Row],[Point of Origin]],Table2[#All],2,0)</f>
        <v>Mexico</v>
      </c>
      <c r="E1204" s="20" t="str">
        <f>VLOOKUP(Table1[[#This Row],[Point of Origin]],Table2[#All],3,0)</f>
        <v>International</v>
      </c>
      <c r="F1204" s="27" t="s">
        <v>146</v>
      </c>
      <c r="G1204" s="21" t="s">
        <v>32</v>
      </c>
      <c r="H1204" s="22">
        <f>40</f>
        <v>40</v>
      </c>
      <c r="I1204" s="22">
        <f>Table1[[#This Row],[Total Weight Imported (lbs)]]*0.453592</f>
        <v>18.14368</v>
      </c>
      <c r="J1204" s="23">
        <f>69.29</f>
        <v>69.290000000000006</v>
      </c>
      <c r="K1204" s="41"/>
    </row>
    <row r="1205" spans="1:11" ht="15.75" customHeight="1">
      <c r="A1205" s="20" t="s">
        <v>270</v>
      </c>
      <c r="B1205" s="20" t="s">
        <v>14</v>
      </c>
      <c r="C1205" s="20" t="s">
        <v>14</v>
      </c>
      <c r="D1205" s="20" t="str">
        <f>VLOOKUP(Table1[[#This Row],[Point of Origin]],Table2[#All],2,0)</f>
        <v>USA</v>
      </c>
      <c r="E1205" s="20" t="str">
        <f>VLOOKUP(Table1[[#This Row],[Point of Origin]],Table2[#All],3,0)</f>
        <v>Domestic</v>
      </c>
      <c r="F1205" s="20" t="s">
        <v>143</v>
      </c>
      <c r="G1205" s="21" t="s">
        <v>144</v>
      </c>
      <c r="H1205" s="22">
        <f>66</f>
        <v>66</v>
      </c>
      <c r="I1205" s="22">
        <f>Table1[[#This Row],[Total Weight Imported (lbs)]]*0.453592</f>
        <v>29.937072000000001</v>
      </c>
      <c r="J1205" s="23">
        <f>149.57</f>
        <v>149.57</v>
      </c>
      <c r="K1205" s="41"/>
    </row>
    <row r="1206" spans="1:11" ht="15.75" customHeight="1">
      <c r="A1206" s="20" t="s">
        <v>270</v>
      </c>
      <c r="B1206" s="20" t="s">
        <v>14</v>
      </c>
      <c r="C1206" s="20" t="s">
        <v>14</v>
      </c>
      <c r="D1206" s="20" t="str">
        <f>VLOOKUP(Table1[[#This Row],[Point of Origin]],Table2[#All],2,0)</f>
        <v>USA</v>
      </c>
      <c r="E1206" s="20" t="str">
        <f>VLOOKUP(Table1[[#This Row],[Point of Origin]],Table2[#All],3,0)</f>
        <v>Domestic</v>
      </c>
      <c r="F1206" s="27" t="s">
        <v>248</v>
      </c>
      <c r="G1206" s="21" t="s">
        <v>249</v>
      </c>
      <c r="H1206" s="22">
        <f>144</f>
        <v>144</v>
      </c>
      <c r="I1206" s="22">
        <f>Table1[[#This Row],[Total Weight Imported (lbs)]]*0.453592</f>
        <v>65.317248000000006</v>
      </c>
      <c r="J1206" s="23">
        <f>322.78</f>
        <v>322.77999999999997</v>
      </c>
      <c r="K1206" s="1"/>
    </row>
    <row r="1207" spans="1:11" ht="15.75" customHeight="1">
      <c r="A1207" s="28" t="s">
        <v>274</v>
      </c>
      <c r="B1207" s="28" t="s">
        <v>14</v>
      </c>
      <c r="C1207" s="28" t="s">
        <v>14</v>
      </c>
      <c r="D1207" s="28" t="str">
        <f>VLOOKUP(Table1[[#This Row],[Point of Origin]],Table2[#All],2,0)</f>
        <v>USA</v>
      </c>
      <c r="E1207" s="28" t="str">
        <f>VLOOKUP(Table1[[#This Row],[Point of Origin]],Table2[#All],3,0)</f>
        <v>Domestic</v>
      </c>
      <c r="F1207" s="28" t="s">
        <v>121</v>
      </c>
      <c r="G1207" s="21" t="s">
        <v>122</v>
      </c>
      <c r="H1207" s="22">
        <f>80+280+80+(3*60)+(5*112)+(3*156)+(3*180)+(2*24)+(2*60)+(2*36)</f>
        <v>2428</v>
      </c>
      <c r="I1207" s="22">
        <f>Table1[[#This Row],[Total Weight Imported (lbs)]]*0.453592</f>
        <v>1101.3213760000001</v>
      </c>
      <c r="J1207" s="23">
        <f>76.98+303.02+87.84+184.92+545.46+519.78+585.35+60.37+191.13+120.8</f>
        <v>2675.65</v>
      </c>
      <c r="K1207" s="1"/>
    </row>
    <row r="1208" spans="1:11" ht="15.75" customHeight="1">
      <c r="A1208" s="28" t="s">
        <v>274</v>
      </c>
      <c r="B1208" s="28" t="s">
        <v>14</v>
      </c>
      <c r="C1208" s="28" t="s">
        <v>14</v>
      </c>
      <c r="D1208" s="28" t="str">
        <f>VLOOKUP(Table1[[#This Row],[Point of Origin]],Table2[#All],2,0)</f>
        <v>USA</v>
      </c>
      <c r="E1208" s="28" t="str">
        <f>VLOOKUP(Table1[[#This Row],[Point of Origin]],Table2[#All],3,0)</f>
        <v>Domestic</v>
      </c>
      <c r="F1208" s="28" t="s">
        <v>121</v>
      </c>
      <c r="G1208" s="21" t="s">
        <v>122</v>
      </c>
      <c r="H1208" s="22">
        <f>(3*48)+80</f>
        <v>224</v>
      </c>
      <c r="I1208" s="22">
        <f>Table1[[#This Row],[Total Weight Imported (lbs)]]*0.453592</f>
        <v>101.604608</v>
      </c>
      <c r="J1208" s="23">
        <f>169.42+91.84</f>
        <v>261.26</v>
      </c>
      <c r="K1208" s="1"/>
    </row>
    <row r="1209" spans="1:11" ht="15.75" customHeight="1">
      <c r="A1209" s="28" t="s">
        <v>274</v>
      </c>
      <c r="B1209" s="28" t="s">
        <v>46</v>
      </c>
      <c r="C1209" s="28" t="s">
        <v>46</v>
      </c>
      <c r="D1209" s="28" t="str">
        <f>VLOOKUP(Table1[[#This Row],[Point of Origin]],Table2[#All],2,0)</f>
        <v>Mexico</v>
      </c>
      <c r="E1209" s="28" t="str">
        <f>VLOOKUP(Table1[[#This Row],[Point of Origin]],Table2[#All],3,0)</f>
        <v>International</v>
      </c>
      <c r="F1209" s="36" t="s">
        <v>147</v>
      </c>
      <c r="G1209" s="21" t="s">
        <v>138</v>
      </c>
      <c r="H1209" s="22">
        <f>60+60+12</f>
        <v>132</v>
      </c>
      <c r="I1209" s="22">
        <f>Table1[[#This Row],[Total Weight Imported (lbs)]]*0.453592</f>
        <v>59.874144000000001</v>
      </c>
      <c r="J1209" s="23">
        <f>75.91+103.93+40.59</f>
        <v>220.43</v>
      </c>
      <c r="K1209" s="41"/>
    </row>
    <row r="1210" spans="1:11" ht="15.75" customHeight="1">
      <c r="A1210" s="28" t="s">
        <v>274</v>
      </c>
      <c r="B1210" s="28" t="s">
        <v>244</v>
      </c>
      <c r="C1210" s="28" t="s">
        <v>244</v>
      </c>
      <c r="D1210" s="28" t="str">
        <f>VLOOKUP(Table1[[#This Row],[Point of Origin]],Table2[#All],2,0)</f>
        <v>Chile</v>
      </c>
      <c r="E1210" s="28" t="str">
        <f>VLOOKUP(Table1[[#This Row],[Point of Origin]],Table2[#All],3,0)</f>
        <v>International</v>
      </c>
      <c r="F1210" s="36" t="s">
        <v>71</v>
      </c>
      <c r="G1210" s="21" t="s">
        <v>72</v>
      </c>
      <c r="H1210" s="22">
        <f>540+612</f>
        <v>1152</v>
      </c>
      <c r="I1210" s="22">
        <f>Table1[[#This Row],[Total Weight Imported (lbs)]]*0.453592</f>
        <v>522.53798400000005</v>
      </c>
      <c r="J1210" s="23">
        <f>1507.44+1708.43</f>
        <v>3215.87</v>
      </c>
      <c r="K1210" s="41"/>
    </row>
    <row r="1211" spans="1:11" ht="15.75" customHeight="1">
      <c r="A1211" s="28" t="s">
        <v>274</v>
      </c>
      <c r="B1211" s="28" t="s">
        <v>14</v>
      </c>
      <c r="C1211" s="28" t="s">
        <v>14</v>
      </c>
      <c r="D1211" s="28" t="str">
        <f>VLOOKUP(Table1[[#This Row],[Point of Origin]],Table2[#All],2,0)</f>
        <v>USA</v>
      </c>
      <c r="E1211" s="28" t="str">
        <f>VLOOKUP(Table1[[#This Row],[Point of Origin]],Table2[#All],3,0)</f>
        <v>Domestic</v>
      </c>
      <c r="F1211" s="36" t="s">
        <v>157</v>
      </c>
      <c r="G1211" s="21" t="s">
        <v>127</v>
      </c>
      <c r="H1211" s="22">
        <f>315</f>
        <v>315</v>
      </c>
      <c r="I1211" s="22">
        <f>Table1[[#This Row],[Total Weight Imported (lbs)]]*0.453592</f>
        <v>142.88148000000001</v>
      </c>
      <c r="J1211" s="23">
        <f>253.11</f>
        <v>253.11</v>
      </c>
      <c r="K1211" s="41"/>
    </row>
    <row r="1212" spans="1:11" ht="15.75" customHeight="1">
      <c r="A1212" s="28" t="s">
        <v>274</v>
      </c>
      <c r="B1212" s="28" t="s">
        <v>46</v>
      </c>
      <c r="C1212" s="28" t="s">
        <v>46</v>
      </c>
      <c r="D1212" s="28" t="str">
        <f>VLOOKUP(Table1[[#This Row],[Point of Origin]],Table2[#All],2,0)</f>
        <v>Mexico</v>
      </c>
      <c r="E1212" s="28" t="str">
        <f>VLOOKUP(Table1[[#This Row],[Point of Origin]],Table2[#All],3,0)</f>
        <v>International</v>
      </c>
      <c r="F1212" s="36" t="s">
        <v>158</v>
      </c>
      <c r="G1212" s="21" t="s">
        <v>127</v>
      </c>
      <c r="H1212" s="22">
        <f>75</f>
        <v>75</v>
      </c>
      <c r="I1212" s="22">
        <f>Table1[[#This Row],[Total Weight Imported (lbs)]]*0.453592</f>
        <v>34.019399999999997</v>
      </c>
      <c r="J1212" s="23">
        <f>61.63</f>
        <v>61.63</v>
      </c>
      <c r="K1212" s="41"/>
    </row>
    <row r="1213" spans="1:11" ht="15.75" customHeight="1">
      <c r="A1213" s="28" t="s">
        <v>274</v>
      </c>
      <c r="B1213" s="28" t="s">
        <v>14</v>
      </c>
      <c r="C1213" s="28" t="s">
        <v>14</v>
      </c>
      <c r="D1213" s="28" t="str">
        <f>VLOOKUP(Table1[[#This Row],[Point of Origin]],Table2[#All],2,0)</f>
        <v>USA</v>
      </c>
      <c r="E1213" s="28" t="str">
        <f>VLOOKUP(Table1[[#This Row],[Point of Origin]],Table2[#All],3,0)</f>
        <v>Domestic</v>
      </c>
      <c r="F1213" s="36" t="s">
        <v>137</v>
      </c>
      <c r="G1213" s="21" t="s">
        <v>138</v>
      </c>
      <c r="H1213" s="22">
        <f>119+(2*18)</f>
        <v>155</v>
      </c>
      <c r="I1213" s="22">
        <f>Table1[[#This Row],[Total Weight Imported (lbs)]]*0.453592</f>
        <v>70.306759999999997</v>
      </c>
      <c r="J1213" s="23">
        <f>227.94+48.34</f>
        <v>276.27999999999997</v>
      </c>
      <c r="K1213" s="1"/>
    </row>
    <row r="1214" spans="1:11" ht="15.75" customHeight="1">
      <c r="A1214" s="28" t="s">
        <v>274</v>
      </c>
      <c r="B1214" s="28" t="s">
        <v>46</v>
      </c>
      <c r="C1214" s="28" t="s">
        <v>46</v>
      </c>
      <c r="D1214" s="28" t="str">
        <f>VLOOKUP(Table1[[#This Row],[Point of Origin]],Table2[#All],2,0)</f>
        <v>Mexico</v>
      </c>
      <c r="E1214" s="28" t="str">
        <f>VLOOKUP(Table1[[#This Row],[Point of Origin]],Table2[#All],3,0)</f>
        <v>International</v>
      </c>
      <c r="F1214" s="36" t="s">
        <v>137</v>
      </c>
      <c r="G1214" s="21" t="s">
        <v>138</v>
      </c>
      <c r="H1214" s="22">
        <f>(2*18)</f>
        <v>36</v>
      </c>
      <c r="I1214" s="22">
        <f>Table1[[#This Row],[Total Weight Imported (lbs)]]*0.453592</f>
        <v>16.329312000000002</v>
      </c>
      <c r="J1214" s="23">
        <f>47.58</f>
        <v>47.58</v>
      </c>
      <c r="K1214" s="1"/>
    </row>
    <row r="1215" spans="1:11" ht="15.75" customHeight="1">
      <c r="A1215" s="28" t="s">
        <v>274</v>
      </c>
      <c r="B1215" s="28" t="s">
        <v>14</v>
      </c>
      <c r="C1215" s="28" t="s">
        <v>14</v>
      </c>
      <c r="D1215" s="28" t="str">
        <f>VLOOKUP(Table1[[#This Row],[Point of Origin]],Table2[#All],2,0)</f>
        <v>USA</v>
      </c>
      <c r="E1215" s="28" t="str">
        <f>VLOOKUP(Table1[[#This Row],[Point of Origin]],Table2[#All],3,0)</f>
        <v>Domestic</v>
      </c>
      <c r="F1215" s="28" t="s">
        <v>139</v>
      </c>
      <c r="G1215" s="21" t="s">
        <v>140</v>
      </c>
      <c r="H1215" s="22">
        <f>24+(2*200)</f>
        <v>424</v>
      </c>
      <c r="I1215" s="22">
        <f>Table1[[#This Row],[Total Weight Imported (lbs)]]*0.453592</f>
        <v>192.32300799999999</v>
      </c>
      <c r="J1215" s="23">
        <f>40.57+1032.89</f>
        <v>1073.46</v>
      </c>
      <c r="K1215" s="41"/>
    </row>
    <row r="1216" spans="1:11" ht="15.75" customHeight="1">
      <c r="A1216" s="28" t="s">
        <v>274</v>
      </c>
      <c r="B1216" s="28" t="s">
        <v>46</v>
      </c>
      <c r="C1216" s="28" t="s">
        <v>46</v>
      </c>
      <c r="D1216" s="28" t="str">
        <f>VLOOKUP(Table1[[#This Row],[Point of Origin]],Table2[#All],2,0)</f>
        <v>Mexico</v>
      </c>
      <c r="E1216" s="28" t="str">
        <f>VLOOKUP(Table1[[#This Row],[Point of Origin]],Table2[#All],3,0)</f>
        <v>International</v>
      </c>
      <c r="F1216" s="36" t="s">
        <v>179</v>
      </c>
      <c r="G1216" s="21" t="s">
        <v>180</v>
      </c>
      <c r="H1216" s="22">
        <f>32</f>
        <v>32</v>
      </c>
      <c r="I1216" s="22">
        <f>Table1[[#This Row],[Total Weight Imported (lbs)]]*0.453592</f>
        <v>14.514944</v>
      </c>
      <c r="J1216" s="23">
        <f>62.39</f>
        <v>62.39</v>
      </c>
      <c r="K1216" s="1"/>
    </row>
    <row r="1217" spans="1:11" ht="15.75" customHeight="1">
      <c r="A1217" s="28" t="s">
        <v>274</v>
      </c>
      <c r="B1217" s="28" t="s">
        <v>46</v>
      </c>
      <c r="C1217" s="28" t="s">
        <v>46</v>
      </c>
      <c r="D1217" s="28" t="str">
        <f>VLOOKUP(Table1[[#This Row],[Point of Origin]],Table2[#All],2,0)</f>
        <v>Mexico</v>
      </c>
      <c r="E1217" s="28" t="str">
        <f>VLOOKUP(Table1[[#This Row],[Point of Origin]],Table2[#All],3,0)</f>
        <v>International</v>
      </c>
      <c r="F1217" s="28" t="s">
        <v>21</v>
      </c>
      <c r="G1217" s="21" t="s">
        <v>22</v>
      </c>
      <c r="H1217" s="22">
        <f>25</f>
        <v>25</v>
      </c>
      <c r="I1217" s="22">
        <f>Table1[[#This Row],[Total Weight Imported (lbs)]]*0.453592</f>
        <v>11.3398</v>
      </c>
      <c r="J1217" s="23">
        <f>36.54</f>
        <v>36.54</v>
      </c>
      <c r="K1217" s="41"/>
    </row>
    <row r="1218" spans="1:11" ht="15.75" customHeight="1">
      <c r="A1218" s="28" t="s">
        <v>274</v>
      </c>
      <c r="B1218" s="28" t="s">
        <v>271</v>
      </c>
      <c r="C1218" s="28" t="s">
        <v>271</v>
      </c>
      <c r="D1218" s="28" t="str">
        <f>VLOOKUP(Table1[[#This Row],[Point of Origin]],Table2[#All],2,0)</f>
        <v>China</v>
      </c>
      <c r="E1218" s="28" t="str">
        <f>VLOOKUP(Table1[[#This Row],[Point of Origin]],Table2[#All],3,0)</f>
        <v>International</v>
      </c>
      <c r="F1218" s="36" t="s">
        <v>163</v>
      </c>
      <c r="G1218" s="21" t="s">
        <v>164</v>
      </c>
      <c r="H1218" s="22">
        <f>180</f>
        <v>180</v>
      </c>
      <c r="I1218" s="22">
        <f>Table1[[#This Row],[Total Weight Imported (lbs)]]*0.453592</f>
        <v>81.646559999999994</v>
      </c>
      <c r="J1218" s="23">
        <f>390.15</f>
        <v>390.15</v>
      </c>
      <c r="K1218" s="41"/>
    </row>
    <row r="1219" spans="1:11" ht="15.75" customHeight="1">
      <c r="A1219" s="28" t="s">
        <v>274</v>
      </c>
      <c r="B1219" s="28" t="s">
        <v>14</v>
      </c>
      <c r="C1219" s="28" t="s">
        <v>14</v>
      </c>
      <c r="D1219" s="28" t="str">
        <f>VLOOKUP(Table1[[#This Row],[Point of Origin]],Table2[#All],2,0)</f>
        <v>USA</v>
      </c>
      <c r="E1219" s="28" t="str">
        <f>VLOOKUP(Table1[[#This Row],[Point of Origin]],Table2[#All],3,0)</f>
        <v>Domestic</v>
      </c>
      <c r="F1219" s="36" t="s">
        <v>102</v>
      </c>
      <c r="G1219" s="21" t="s">
        <v>32</v>
      </c>
      <c r="H1219" s="22">
        <f>30</f>
        <v>30</v>
      </c>
      <c r="I1219" s="22">
        <f>Table1[[#This Row],[Total Weight Imported (lbs)]]*0.453592</f>
        <v>13.607759999999999</v>
      </c>
      <c r="J1219" s="23">
        <f>18.37</f>
        <v>18.37</v>
      </c>
      <c r="K1219" s="41"/>
    </row>
    <row r="1220" spans="1:11" ht="15.75" customHeight="1">
      <c r="A1220" s="28" t="s">
        <v>274</v>
      </c>
      <c r="B1220" s="28" t="s">
        <v>14</v>
      </c>
      <c r="C1220" s="28" t="s">
        <v>14</v>
      </c>
      <c r="D1220" s="28" t="str">
        <f>VLOOKUP(Table1[[#This Row],[Point of Origin]],Table2[#All],2,0)</f>
        <v>USA</v>
      </c>
      <c r="E1220" s="28" t="str">
        <f>VLOOKUP(Table1[[#This Row],[Point of Origin]],Table2[#All],3,0)</f>
        <v>Domestic</v>
      </c>
      <c r="F1220" s="28" t="s">
        <v>76</v>
      </c>
      <c r="G1220" s="21" t="s">
        <v>77</v>
      </c>
      <c r="H1220" s="22">
        <f>100+1080+160+(2*96)+(2*48)+(2*60)+(2*240)+(2*12)+(2*12)</f>
        <v>2276</v>
      </c>
      <c r="I1220" s="22">
        <f>Table1[[#This Row],[Total Weight Imported (lbs)]]*0.453592</f>
        <v>1032.3753919999999</v>
      </c>
      <c r="J1220" s="23">
        <f>92.27+890.25+218.62+175.6+97.88+165.93+407.8+56.23+43.27</f>
        <v>2147.85</v>
      </c>
      <c r="K1220" s="1"/>
    </row>
    <row r="1221" spans="1:11" ht="15.75" customHeight="1">
      <c r="A1221" s="28" t="s">
        <v>274</v>
      </c>
      <c r="B1221" s="28" t="s">
        <v>14</v>
      </c>
      <c r="C1221" s="28" t="s">
        <v>14</v>
      </c>
      <c r="D1221" s="28" t="str">
        <f>VLOOKUP(Table1[[#This Row],[Point of Origin]],Table2[#All],2,0)</f>
        <v>USA</v>
      </c>
      <c r="E1221" s="28" t="str">
        <f>VLOOKUP(Table1[[#This Row],[Point of Origin]],Table2[#All],3,0)</f>
        <v>Domestic</v>
      </c>
      <c r="F1221" s="28" t="s">
        <v>124</v>
      </c>
      <c r="G1221" s="21" t="s">
        <v>30</v>
      </c>
      <c r="H1221" s="22">
        <f>50</f>
        <v>50</v>
      </c>
      <c r="I1221" s="22">
        <f>Table1[[#This Row],[Total Weight Imported (lbs)]]*0.453592</f>
        <v>22.679600000000001</v>
      </c>
      <c r="J1221" s="23">
        <f>62.45</f>
        <v>62.45</v>
      </c>
      <c r="K1221" s="41"/>
    </row>
    <row r="1222" spans="1:11" ht="15.75" customHeight="1">
      <c r="A1222" s="28" t="s">
        <v>274</v>
      </c>
      <c r="B1222" s="28" t="s">
        <v>14</v>
      </c>
      <c r="C1222" s="28" t="s">
        <v>14</v>
      </c>
      <c r="D1222" s="28" t="str">
        <f>VLOOKUP(Table1[[#This Row],[Point of Origin]],Table2[#All],2,0)</f>
        <v>USA</v>
      </c>
      <c r="E1222" s="28" t="str">
        <f>VLOOKUP(Table1[[#This Row],[Point of Origin]],Table2[#All],3,0)</f>
        <v>Domestic</v>
      </c>
      <c r="F1222" s="28" t="s">
        <v>19</v>
      </c>
      <c r="G1222" s="21" t="s">
        <v>20</v>
      </c>
      <c r="H1222" s="22">
        <f>280+14</f>
        <v>294</v>
      </c>
      <c r="I1222" s="22">
        <f>Table1[[#This Row],[Total Weight Imported (lbs)]]*0.453592</f>
        <v>133.35604799999999</v>
      </c>
      <c r="J1222" s="23">
        <f>629.45+41.96</f>
        <v>671.41000000000008</v>
      </c>
      <c r="K1222" s="41"/>
    </row>
    <row r="1223" spans="1:11" ht="15.75" customHeight="1">
      <c r="A1223" s="28" t="s">
        <v>274</v>
      </c>
      <c r="B1223" s="28" t="s">
        <v>14</v>
      </c>
      <c r="C1223" s="28" t="s">
        <v>14</v>
      </c>
      <c r="D1223" s="28" t="str">
        <f>VLOOKUP(Table1[[#This Row],[Point of Origin]],Table2[#All],2,0)</f>
        <v>USA</v>
      </c>
      <c r="E1223" s="28" t="str">
        <f>VLOOKUP(Table1[[#This Row],[Point of Origin]],Table2[#All],3,0)</f>
        <v>Domestic</v>
      </c>
      <c r="F1223" s="36" t="s">
        <v>148</v>
      </c>
      <c r="G1223" s="21" t="s">
        <v>20</v>
      </c>
      <c r="H1223" s="22">
        <f>60</f>
        <v>60</v>
      </c>
      <c r="I1223" s="22">
        <f>Table1[[#This Row],[Total Weight Imported (lbs)]]*0.453592</f>
        <v>27.215519999999998</v>
      </c>
      <c r="J1223" s="23">
        <f>79.72</f>
        <v>79.72</v>
      </c>
      <c r="K1223" s="1"/>
    </row>
    <row r="1224" spans="1:11" ht="15.75" customHeight="1">
      <c r="A1224" s="28" t="s">
        <v>274</v>
      </c>
      <c r="B1224" s="28" t="s">
        <v>14</v>
      </c>
      <c r="C1224" s="28" t="s">
        <v>14</v>
      </c>
      <c r="D1224" s="28" t="str">
        <f>VLOOKUP(Table1[[#This Row],[Point of Origin]],Table2[#All],2,0)</f>
        <v>USA</v>
      </c>
      <c r="E1224" s="28" t="str">
        <f>VLOOKUP(Table1[[#This Row],[Point of Origin]],Table2[#All],3,0)</f>
        <v>Domestic</v>
      </c>
      <c r="F1224" s="28" t="s">
        <v>82</v>
      </c>
      <c r="G1224" s="21" t="s">
        <v>20</v>
      </c>
      <c r="H1224" s="22">
        <f>180+495+90+270</f>
        <v>1035</v>
      </c>
      <c r="I1224" s="22">
        <f>Table1[[#This Row],[Total Weight Imported (lbs)]]*0.453592</f>
        <v>469.46771999999999</v>
      </c>
      <c r="J1224" s="23">
        <f>235.35+505.67+94.91+100.78</f>
        <v>936.70999999999992</v>
      </c>
      <c r="K1224" s="41"/>
    </row>
    <row r="1225" spans="1:11" ht="15.75" customHeight="1">
      <c r="A1225" s="28" t="s">
        <v>274</v>
      </c>
      <c r="B1225" s="28" t="s">
        <v>14</v>
      </c>
      <c r="C1225" s="28" t="s">
        <v>14</v>
      </c>
      <c r="D1225" s="28" t="str">
        <f>VLOOKUP(Table1[[#This Row],[Point of Origin]],Table2[#All],2,0)</f>
        <v>USA</v>
      </c>
      <c r="E1225" s="28" t="str">
        <f>VLOOKUP(Table1[[#This Row],[Point of Origin]],Table2[#All],3,0)</f>
        <v>Domestic</v>
      </c>
      <c r="F1225" s="36" t="s">
        <v>141</v>
      </c>
      <c r="G1225" s="21" t="s">
        <v>142</v>
      </c>
      <c r="H1225" s="22">
        <f>700+150+(5*90)+(10*50+(5*10)+50+(5*50)+30+30+12)</f>
        <v>2222</v>
      </c>
      <c r="I1225" s="22">
        <f>Table1[[#This Row],[Total Weight Imported (lbs)]]*0.453592</f>
        <v>1007.881424</v>
      </c>
      <c r="J1225" s="23">
        <f>440.34+142.21+292.08+304.53+33.45+52.4+167.26+93.72+97.32+110.88</f>
        <v>1734.19</v>
      </c>
      <c r="K1225" s="41"/>
    </row>
    <row r="1226" spans="1:11" ht="15.75" customHeight="1">
      <c r="A1226" s="28" t="s">
        <v>274</v>
      </c>
      <c r="B1226" s="28" t="s">
        <v>14</v>
      </c>
      <c r="C1226" s="28" t="s">
        <v>14</v>
      </c>
      <c r="D1226" s="28" t="str">
        <f>VLOOKUP(Table1[[#This Row],[Point of Origin]],Table2[#All],2,0)</f>
        <v>USA</v>
      </c>
      <c r="E1226" s="28" t="str">
        <f>VLOOKUP(Table1[[#This Row],[Point of Origin]],Table2[#All],3,0)</f>
        <v>Domestic</v>
      </c>
      <c r="F1226" s="28" t="s">
        <v>128</v>
      </c>
      <c r="G1226" s="21" t="s">
        <v>129</v>
      </c>
      <c r="H1226" s="22">
        <f>80+36+40</f>
        <v>156</v>
      </c>
      <c r="I1226" s="22">
        <f>Table1[[#This Row],[Total Weight Imported (lbs)]]*0.453592</f>
        <v>70.760351999999997</v>
      </c>
      <c r="J1226" s="23">
        <f>92.98+141.19+47.12</f>
        <v>281.29000000000002</v>
      </c>
      <c r="K1226" s="41"/>
    </row>
    <row r="1227" spans="1:11" ht="15.75" customHeight="1">
      <c r="A1227" s="28" t="s">
        <v>274</v>
      </c>
      <c r="B1227" s="28" t="s">
        <v>14</v>
      </c>
      <c r="C1227" s="28" t="s">
        <v>14</v>
      </c>
      <c r="D1227" s="28" t="str">
        <f>VLOOKUP(Table1[[#This Row],[Point of Origin]],Table2[#All],2,0)</f>
        <v>USA</v>
      </c>
      <c r="E1227" s="28" t="str">
        <f>VLOOKUP(Table1[[#This Row],[Point of Origin]],Table2[#All],3,0)</f>
        <v>Domestic</v>
      </c>
      <c r="F1227" s="28" t="s">
        <v>40</v>
      </c>
      <c r="G1227" s="21" t="s">
        <v>41</v>
      </c>
      <c r="H1227" s="22">
        <f>(32*20)+144+(2*96)+(5*20)+90+48+(2*24)</f>
        <v>1262</v>
      </c>
      <c r="I1227" s="22">
        <f>Table1[[#This Row],[Total Weight Imported (lbs)]]*0.453592</f>
        <v>572.43310399999996</v>
      </c>
      <c r="J1227" s="23">
        <f>J1228</f>
        <v>38.14</v>
      </c>
      <c r="K1227" s="41"/>
    </row>
    <row r="1228" spans="1:11" ht="15.75" customHeight="1">
      <c r="A1228" s="28" t="s">
        <v>274</v>
      </c>
      <c r="B1228" s="28" t="s">
        <v>14</v>
      </c>
      <c r="C1228" s="28" t="s">
        <v>14</v>
      </c>
      <c r="D1228" s="28" t="str">
        <f>VLOOKUP(Table1[[#This Row],[Point of Origin]],Table2[#All],2,0)</f>
        <v>USA</v>
      </c>
      <c r="E1228" s="28" t="str">
        <f>VLOOKUP(Table1[[#This Row],[Point of Origin]],Table2[#All],3,0)</f>
        <v>Domestic</v>
      </c>
      <c r="F1228" s="28" t="s">
        <v>63</v>
      </c>
      <c r="G1228" s="21" t="s">
        <v>64</v>
      </c>
      <c r="H1228" s="22">
        <f>35</f>
        <v>35</v>
      </c>
      <c r="I1228" s="22">
        <f>Table1[[#This Row],[Total Weight Imported (lbs)]]*0.453592</f>
        <v>15.875719999999999</v>
      </c>
      <c r="J1228" s="23">
        <f>38.14</f>
        <v>38.14</v>
      </c>
      <c r="K1228" s="1"/>
    </row>
    <row r="1229" spans="1:11" ht="15.75" customHeight="1">
      <c r="A1229" s="28" t="s">
        <v>274</v>
      </c>
      <c r="B1229" s="28" t="s">
        <v>46</v>
      </c>
      <c r="C1229" s="28" t="s">
        <v>46</v>
      </c>
      <c r="D1229" s="28" t="str">
        <f>VLOOKUP(Table1[[#This Row],[Point of Origin]],Table2[#All],2,0)</f>
        <v>Mexico</v>
      </c>
      <c r="E1229" s="28" t="str">
        <f>VLOOKUP(Table1[[#This Row],[Point of Origin]],Table2[#All],3,0)</f>
        <v>International</v>
      </c>
      <c r="F1229" s="28" t="s">
        <v>63</v>
      </c>
      <c r="G1229" s="21" t="s">
        <v>64</v>
      </c>
      <c r="H1229" s="22">
        <f>35+35+140</f>
        <v>210</v>
      </c>
      <c r="I1229" s="22">
        <f>Table1[[#This Row],[Total Weight Imported (lbs)]]*0.453592</f>
        <v>95.254319999999993</v>
      </c>
      <c r="J1229" s="23">
        <f>35.56+36.56+143.23</f>
        <v>215.35</v>
      </c>
      <c r="K1229" s="1"/>
    </row>
    <row r="1230" spans="1:11" ht="15.75" customHeight="1">
      <c r="A1230" s="28" t="s">
        <v>274</v>
      </c>
      <c r="B1230" s="28" t="s">
        <v>14</v>
      </c>
      <c r="C1230" s="28" t="s">
        <v>14</v>
      </c>
      <c r="D1230" s="28" t="str">
        <f>VLOOKUP(Table1[[#This Row],[Point of Origin]],Table2[#All],2,0)</f>
        <v>USA</v>
      </c>
      <c r="E1230" s="28" t="str">
        <f>VLOOKUP(Table1[[#This Row],[Point of Origin]],Table2[#All],3,0)</f>
        <v>Domestic</v>
      </c>
      <c r="F1230" s="28" t="s">
        <v>15</v>
      </c>
      <c r="G1230" s="21" t="s">
        <v>16</v>
      </c>
      <c r="H1230" s="22">
        <f>132</f>
        <v>132</v>
      </c>
      <c r="I1230" s="22">
        <f>Table1[[#This Row],[Total Weight Imported (lbs)]]*0.453592</f>
        <v>59.874144000000001</v>
      </c>
      <c r="J1230" s="23">
        <f>465.32</f>
        <v>465.32</v>
      </c>
      <c r="K1230" s="41"/>
    </row>
    <row r="1231" spans="1:11" ht="15.75" customHeight="1">
      <c r="A1231" s="28" t="s">
        <v>274</v>
      </c>
      <c r="B1231" s="28" t="s">
        <v>14</v>
      </c>
      <c r="C1231" s="28" t="s">
        <v>14</v>
      </c>
      <c r="D1231" s="28" t="str">
        <f>VLOOKUP(Table1[[#This Row],[Point of Origin]],Table2[#All],2,0)</f>
        <v>USA</v>
      </c>
      <c r="E1231" s="28" t="str">
        <f>VLOOKUP(Table1[[#This Row],[Point of Origin]],Table2[#All],3,0)</f>
        <v>Domestic</v>
      </c>
      <c r="F1231" s="36" t="s">
        <v>102</v>
      </c>
      <c r="G1231" s="21" t="s">
        <v>32</v>
      </c>
      <c r="H1231" s="22">
        <f>4</f>
        <v>4</v>
      </c>
      <c r="I1231" s="22">
        <f>Table1[[#This Row],[Total Weight Imported (lbs)]]*0.453592</f>
        <v>1.814368</v>
      </c>
      <c r="J1231" s="23">
        <f>18.37</f>
        <v>18.37</v>
      </c>
      <c r="K1231" s="41"/>
    </row>
    <row r="1232" spans="1:11" ht="15.75" customHeight="1">
      <c r="A1232" s="28" t="s">
        <v>274</v>
      </c>
      <c r="B1232" s="28" t="s">
        <v>46</v>
      </c>
      <c r="C1232" s="28" t="s">
        <v>46</v>
      </c>
      <c r="D1232" s="28" t="str">
        <f>VLOOKUP(Table1[[#This Row],[Point of Origin]],Table2[#All],2,0)</f>
        <v>Mexico</v>
      </c>
      <c r="E1232" s="28" t="str">
        <f>VLOOKUP(Table1[[#This Row],[Point of Origin]],Table2[#All],3,0)</f>
        <v>International</v>
      </c>
      <c r="F1232" s="28" t="s">
        <v>38</v>
      </c>
      <c r="G1232" s="21" t="s">
        <v>39</v>
      </c>
      <c r="H1232" s="22">
        <f>308+200+55+33+75+(2*120)+36+52</f>
        <v>999</v>
      </c>
      <c r="I1232" s="22">
        <f>Table1[[#This Row],[Total Weight Imported (lbs)]]*0.453592</f>
        <v>453.13840799999997</v>
      </c>
      <c r="J1232" s="23">
        <f>777.75+348.34+171.29+144.98+215.65+282.66+39.64+43.85</f>
        <v>2024.16</v>
      </c>
      <c r="K1232" s="41"/>
    </row>
    <row r="1233" spans="1:11" ht="15.75" customHeight="1">
      <c r="A1233" s="28" t="s">
        <v>274</v>
      </c>
      <c r="B1233" s="28" t="s">
        <v>14</v>
      </c>
      <c r="C1233" s="28" t="s">
        <v>14</v>
      </c>
      <c r="D1233" s="28" t="str">
        <f>VLOOKUP(Table1[[#This Row],[Point of Origin]],Table2[#All],2,0)</f>
        <v>USA</v>
      </c>
      <c r="E1233" s="28" t="str">
        <f>VLOOKUP(Table1[[#This Row],[Point of Origin]],Table2[#All],3,0)</f>
        <v>Domestic</v>
      </c>
      <c r="F1233" s="28" t="s">
        <v>38</v>
      </c>
      <c r="G1233" s="21" t="s">
        <v>39</v>
      </c>
      <c r="H1233" s="22">
        <f>24</f>
        <v>24</v>
      </c>
      <c r="I1233" s="22">
        <f>Table1[[#This Row],[Total Weight Imported (lbs)]]*0.453592</f>
        <v>10.886208</v>
      </c>
      <c r="J1233" s="23">
        <f>158.58</f>
        <v>158.58000000000001</v>
      </c>
      <c r="K1233" s="41"/>
    </row>
    <row r="1234" spans="1:11" ht="15.75" customHeight="1">
      <c r="A1234" s="28" t="s">
        <v>274</v>
      </c>
      <c r="B1234" s="28" t="s">
        <v>14</v>
      </c>
      <c r="C1234" s="28" t="s">
        <v>14</v>
      </c>
      <c r="D1234" s="28" t="str">
        <f>VLOOKUP(Table1[[#This Row],[Point of Origin]],Table2[#All],2,0)</f>
        <v>USA</v>
      </c>
      <c r="E1234" s="28" t="str">
        <f>VLOOKUP(Table1[[#This Row],[Point of Origin]],Table2[#All],3,0)</f>
        <v>Domestic</v>
      </c>
      <c r="F1234" s="36" t="s">
        <v>87</v>
      </c>
      <c r="G1234" s="21" t="s">
        <v>20</v>
      </c>
      <c r="H1234" s="22">
        <f>20</f>
        <v>20</v>
      </c>
      <c r="I1234" s="22">
        <f>Table1[[#This Row],[Total Weight Imported (lbs)]]*0.453592</f>
        <v>9.0718399999999999</v>
      </c>
      <c r="J1234" s="23">
        <f>26.53</f>
        <v>26.53</v>
      </c>
      <c r="K1234" s="41"/>
    </row>
    <row r="1235" spans="1:11" ht="15.75" customHeight="1">
      <c r="A1235" s="28" t="s">
        <v>274</v>
      </c>
      <c r="B1235" s="28" t="s">
        <v>14</v>
      </c>
      <c r="C1235" s="28" t="s">
        <v>14</v>
      </c>
      <c r="D1235" s="28" t="str">
        <f>VLOOKUP(Table1[[#This Row],[Point of Origin]],Table2[#All],2,0)</f>
        <v>USA</v>
      </c>
      <c r="E1235" s="28" t="str">
        <f>VLOOKUP(Table1[[#This Row],[Point of Origin]],Table2[#All],3,0)</f>
        <v>Domestic</v>
      </c>
      <c r="F1235" s="28" t="s">
        <v>56</v>
      </c>
      <c r="G1235" s="21" t="s">
        <v>57</v>
      </c>
      <c r="H1235" s="22">
        <f>180+48</f>
        <v>228</v>
      </c>
      <c r="I1235" s="22">
        <f>Table1[[#This Row],[Total Weight Imported (lbs)]]*0.453592</f>
        <v>103.418976</v>
      </c>
      <c r="J1235" s="23">
        <f>220.92+103.11</f>
        <v>324.02999999999997</v>
      </c>
      <c r="K1235" s="41"/>
    </row>
    <row r="1236" spans="1:11" ht="15.75" customHeight="1">
      <c r="A1236" s="28" t="s">
        <v>274</v>
      </c>
      <c r="B1236" s="28" t="s">
        <v>14</v>
      </c>
      <c r="C1236" s="28" t="s">
        <v>14</v>
      </c>
      <c r="D1236" s="28" t="str">
        <f>VLOOKUP(Table1[[#This Row],[Point of Origin]],Table2[#All],2,0)</f>
        <v>USA</v>
      </c>
      <c r="E1236" s="28" t="str">
        <f>VLOOKUP(Table1[[#This Row],[Point of Origin]],Table2[#All],3,0)</f>
        <v>Domestic</v>
      </c>
      <c r="F1236" s="28" t="s">
        <v>83</v>
      </c>
      <c r="G1236" s="21" t="s">
        <v>32</v>
      </c>
      <c r="H1236" s="22">
        <f>56</f>
        <v>56</v>
      </c>
      <c r="I1236" s="22">
        <f>Table1[[#This Row],[Total Weight Imported (lbs)]]*0.453592</f>
        <v>25.401152</v>
      </c>
      <c r="J1236" s="23">
        <f>151.97</f>
        <v>151.97</v>
      </c>
      <c r="K1236" s="41"/>
    </row>
    <row r="1237" spans="1:11" ht="15.75" customHeight="1">
      <c r="A1237" s="28" t="s">
        <v>274</v>
      </c>
      <c r="B1237" s="28" t="s">
        <v>46</v>
      </c>
      <c r="C1237" s="28" t="s">
        <v>46</v>
      </c>
      <c r="D1237" s="28" t="str">
        <f>VLOOKUP(Table1[[#This Row],[Point of Origin]],Table2[#All],2,0)</f>
        <v>Mexico</v>
      </c>
      <c r="E1237" s="28" t="str">
        <f>VLOOKUP(Table1[[#This Row],[Point of Origin]],Table2[#All],3,0)</f>
        <v>International</v>
      </c>
      <c r="F1237" s="28" t="s">
        <v>48</v>
      </c>
      <c r="G1237" s="21" t="s">
        <v>49</v>
      </c>
      <c r="H1237" s="22">
        <f>150</f>
        <v>150</v>
      </c>
      <c r="I1237" s="22">
        <f>Table1[[#This Row],[Total Weight Imported (lbs)]]*0.453592</f>
        <v>68.038799999999995</v>
      </c>
      <c r="J1237" s="23">
        <f>941.23</f>
        <v>941.23</v>
      </c>
      <c r="K1237" s="41"/>
    </row>
    <row r="1238" spans="1:11" ht="15.75" customHeight="1">
      <c r="A1238" s="28" t="s">
        <v>274</v>
      </c>
      <c r="B1238" s="28" t="s">
        <v>14</v>
      </c>
      <c r="C1238" s="28" t="s">
        <v>14</v>
      </c>
      <c r="D1238" s="28" t="str">
        <f>VLOOKUP(Table1[[#This Row],[Point of Origin]],Table2[#All],2,0)</f>
        <v>USA</v>
      </c>
      <c r="E1238" s="28" t="str">
        <f>VLOOKUP(Table1[[#This Row],[Point of Origin]],Table2[#All],3,0)</f>
        <v>Domestic</v>
      </c>
      <c r="F1238" s="28" t="s">
        <v>59</v>
      </c>
      <c r="G1238" s="21" t="s">
        <v>60</v>
      </c>
      <c r="H1238" s="22">
        <f>132+55+166+71+168+60+12</f>
        <v>664</v>
      </c>
      <c r="I1238" s="22">
        <f>Table1[[#This Row],[Total Weight Imported (lbs)]]*0.453592</f>
        <v>301.18508800000001</v>
      </c>
      <c r="J1238" s="23">
        <f>684.01+198.43+756.02+33.07+460.18+120.77+29.24</f>
        <v>2281.7199999999998</v>
      </c>
      <c r="K1238" s="41"/>
    </row>
    <row r="1239" spans="1:11" ht="15.75" customHeight="1">
      <c r="A1239" s="28" t="s">
        <v>274</v>
      </c>
      <c r="B1239" s="28" t="s">
        <v>273</v>
      </c>
      <c r="C1239" s="28" t="s">
        <v>273</v>
      </c>
      <c r="D1239" s="28" t="str">
        <f>VLOOKUP(Table1[[#This Row],[Point of Origin]],Table2[#All],2,0)</f>
        <v> Costa Rica</v>
      </c>
      <c r="E1239" s="28" t="str">
        <f>VLOOKUP(Table1[[#This Row],[Point of Origin]],Table2[#All],3,0)</f>
        <v>International</v>
      </c>
      <c r="F1239" s="28" t="s">
        <v>159</v>
      </c>
      <c r="G1239" s="21" t="s">
        <v>160</v>
      </c>
      <c r="H1239" s="22">
        <f>56</f>
        <v>56</v>
      </c>
      <c r="I1239" s="22">
        <f>Table1[[#This Row],[Total Weight Imported (lbs)]]*0.453592</f>
        <v>25.401152</v>
      </c>
      <c r="J1239" s="23">
        <f>172.5</f>
        <v>172.5</v>
      </c>
      <c r="K1239" s="1"/>
    </row>
    <row r="1240" spans="1:11" ht="15.75" customHeight="1">
      <c r="A1240" s="28" t="s">
        <v>274</v>
      </c>
      <c r="B1240" s="28" t="s">
        <v>46</v>
      </c>
      <c r="C1240" s="28" t="s">
        <v>46</v>
      </c>
      <c r="D1240" s="28" t="str">
        <f>VLOOKUP(Table1[[#This Row],[Point of Origin]],Table2[#All],2,0)</f>
        <v>Mexico</v>
      </c>
      <c r="E1240" s="28" t="str">
        <f>VLOOKUP(Table1[[#This Row],[Point of Origin]],Table2[#All],3,0)</f>
        <v>International</v>
      </c>
      <c r="F1240" s="28" t="s">
        <v>61</v>
      </c>
      <c r="G1240" s="21" t="s">
        <v>62</v>
      </c>
      <c r="H1240" s="22">
        <f>56+132+80+(1*120)</f>
        <v>388</v>
      </c>
      <c r="I1240" s="22">
        <f>Table1[[#This Row],[Total Weight Imported (lbs)]]*0.453592</f>
        <v>175.993696</v>
      </c>
      <c r="J1240" s="23">
        <f>688.14+404.6+138.58+434.3</f>
        <v>1665.62</v>
      </c>
      <c r="K1240" s="41"/>
    </row>
    <row r="1241" spans="1:11" ht="15.75" customHeight="1">
      <c r="A1241" s="28" t="s">
        <v>274</v>
      </c>
      <c r="B1241" s="28" t="s">
        <v>46</v>
      </c>
      <c r="C1241" s="28" t="s">
        <v>46</v>
      </c>
      <c r="D1241" s="28" t="str">
        <f>VLOOKUP(Table1[[#This Row],[Point of Origin]],Table2[#All],2,0)</f>
        <v>Mexico</v>
      </c>
      <c r="E1241" s="28" t="str">
        <f>VLOOKUP(Table1[[#This Row],[Point of Origin]],Table2[#All],3,0)</f>
        <v>International</v>
      </c>
      <c r="F1241" s="28" t="s">
        <v>61</v>
      </c>
      <c r="G1241" s="21" t="s">
        <v>62</v>
      </c>
      <c r="H1241" s="22">
        <f>80</f>
        <v>80</v>
      </c>
      <c r="I1241" s="22">
        <f>Table1[[#This Row],[Total Weight Imported (lbs)]]*0.453592</f>
        <v>36.28736</v>
      </c>
      <c r="J1241" s="23">
        <f>134.58</f>
        <v>134.58000000000001</v>
      </c>
      <c r="K1241" s="41"/>
    </row>
    <row r="1242" spans="1:11" ht="15.75" customHeight="1">
      <c r="A1242" s="28" t="s">
        <v>274</v>
      </c>
      <c r="B1242" s="28" t="s">
        <v>46</v>
      </c>
      <c r="C1242" s="28" t="s">
        <v>46</v>
      </c>
      <c r="D1242" s="28" t="str">
        <f>VLOOKUP(Table1[[#This Row],[Point of Origin]],Table2[#All],2,0)</f>
        <v>Mexico</v>
      </c>
      <c r="E1242" s="28" t="str">
        <f>VLOOKUP(Table1[[#This Row],[Point of Origin]],Table2[#All],3,0)</f>
        <v>International</v>
      </c>
      <c r="F1242" s="28" t="s">
        <v>67</v>
      </c>
      <c r="G1242" s="21" t="s">
        <v>68</v>
      </c>
      <c r="H1242" s="22">
        <f>144</f>
        <v>144</v>
      </c>
      <c r="I1242" s="22">
        <f>Table1[[#This Row],[Total Weight Imported (lbs)]]*0.453592</f>
        <v>65.317248000000006</v>
      </c>
      <c r="J1242" s="23">
        <f>605.94</f>
        <v>605.94000000000005</v>
      </c>
      <c r="K1242" s="41"/>
    </row>
    <row r="1243" spans="1:11" ht="15.75" customHeight="1">
      <c r="A1243" s="28" t="s">
        <v>274</v>
      </c>
      <c r="B1243" s="28" t="s">
        <v>14</v>
      </c>
      <c r="C1243" s="28" t="s">
        <v>14</v>
      </c>
      <c r="D1243" s="28" t="str">
        <f>VLOOKUP(Table1[[#This Row],[Point of Origin]],Table2[#All],2,0)</f>
        <v>USA</v>
      </c>
      <c r="E1243" s="28" t="str">
        <f>VLOOKUP(Table1[[#This Row],[Point of Origin]],Table2[#All],3,0)</f>
        <v>Domestic</v>
      </c>
      <c r="F1243" s="28" t="s">
        <v>130</v>
      </c>
      <c r="G1243" s="21" t="s">
        <v>131</v>
      </c>
      <c r="H1243" s="22">
        <f>(3*540)</f>
        <v>1620</v>
      </c>
      <c r="I1243" s="22">
        <f>Table1[[#This Row],[Total Weight Imported (lbs)]]*0.453592</f>
        <v>734.81903999999997</v>
      </c>
      <c r="J1243" s="23">
        <f>2507.82</f>
        <v>2507.8200000000002</v>
      </c>
      <c r="K1243" s="1"/>
    </row>
    <row r="1244" spans="1:11" ht="15.75" customHeight="1">
      <c r="A1244" s="28" t="s">
        <v>274</v>
      </c>
      <c r="B1244" s="28" t="s">
        <v>14</v>
      </c>
      <c r="C1244" s="28" t="s">
        <v>14</v>
      </c>
      <c r="D1244" s="28" t="str">
        <f>VLOOKUP(Table1[[#This Row],[Point of Origin]],Table2[#All],2,0)</f>
        <v>USA</v>
      </c>
      <c r="E1244" s="28" t="str">
        <f>VLOOKUP(Table1[[#This Row],[Point of Origin]],Table2[#All],3,0)</f>
        <v>Domestic</v>
      </c>
      <c r="F1244" s="28" t="s">
        <v>79</v>
      </c>
      <c r="G1244" s="21" t="s">
        <v>80</v>
      </c>
      <c r="H1244" s="22">
        <f>120</f>
        <v>120</v>
      </c>
      <c r="I1244" s="22">
        <f>Table1[[#This Row],[Total Weight Imported (lbs)]]*0.453592</f>
        <v>54.431039999999996</v>
      </c>
      <c r="J1244" s="23">
        <f>152.51</f>
        <v>152.51</v>
      </c>
      <c r="K1244" s="1"/>
    </row>
    <row r="1245" spans="1:11" ht="15.75" customHeight="1">
      <c r="A1245" s="28" t="s">
        <v>274</v>
      </c>
      <c r="B1245" s="28" t="s">
        <v>271</v>
      </c>
      <c r="C1245" s="28" t="s">
        <v>271</v>
      </c>
      <c r="D1245" s="28" t="str">
        <f>VLOOKUP(Table1[[#This Row],[Point of Origin]],Table2[#All],2,0)</f>
        <v>China</v>
      </c>
      <c r="E1245" s="28" t="str">
        <f>VLOOKUP(Table1[[#This Row],[Point of Origin]],Table2[#All],3,0)</f>
        <v>International</v>
      </c>
      <c r="F1245" s="36" t="s">
        <v>96</v>
      </c>
      <c r="G1245" s="21" t="s">
        <v>97</v>
      </c>
      <c r="H1245" s="22">
        <f>15</f>
        <v>15</v>
      </c>
      <c r="I1245" s="22">
        <f>Table1[[#This Row],[Total Weight Imported (lbs)]]*0.453592</f>
        <v>6.8038799999999995</v>
      </c>
      <c r="J1245" s="23">
        <f>575.55</f>
        <v>575.54999999999995</v>
      </c>
      <c r="K1245" s="1"/>
    </row>
    <row r="1246" spans="1:11" ht="15.75" customHeight="1">
      <c r="A1246" s="28" t="s">
        <v>274</v>
      </c>
      <c r="B1246" s="28" t="s">
        <v>14</v>
      </c>
      <c r="C1246" s="28" t="s">
        <v>14</v>
      </c>
      <c r="D1246" s="28" t="str">
        <f>VLOOKUP(Table1[[#This Row],[Point of Origin]],Table2[#All],2,0)</f>
        <v>USA</v>
      </c>
      <c r="E1246" s="28" t="str">
        <f>VLOOKUP(Table1[[#This Row],[Point of Origin]],Table2[#All],3,0)</f>
        <v>Domestic</v>
      </c>
      <c r="F1246" s="28" t="s">
        <v>143</v>
      </c>
      <c r="G1246" s="21" t="s">
        <v>144</v>
      </c>
      <c r="H1246" s="22">
        <f>120</f>
        <v>120</v>
      </c>
      <c r="I1246" s="22">
        <f>Table1[[#This Row],[Total Weight Imported (lbs)]]*0.453592</f>
        <v>54.431039999999996</v>
      </c>
      <c r="J1246" s="23">
        <f>199.42</f>
        <v>199.42</v>
      </c>
      <c r="K1246" s="41"/>
    </row>
    <row r="1247" spans="1:11" ht="15.75" customHeight="1">
      <c r="A1247" s="28" t="s">
        <v>274</v>
      </c>
      <c r="B1247" s="28" t="s">
        <v>14</v>
      </c>
      <c r="C1247" s="28" t="s">
        <v>14</v>
      </c>
      <c r="D1247" s="28" t="str">
        <f>VLOOKUP(Table1[[#This Row],[Point of Origin]],Table2[#All],2,0)</f>
        <v>USA</v>
      </c>
      <c r="E1247" s="28" t="str">
        <f>VLOOKUP(Table1[[#This Row],[Point of Origin]],Table2[#All],3,0)</f>
        <v>Domestic</v>
      </c>
      <c r="F1247" s="28" t="s">
        <v>61</v>
      </c>
      <c r="G1247" s="21" t="s">
        <v>62</v>
      </c>
      <c r="H1247" s="22">
        <f>100</f>
        <v>100</v>
      </c>
      <c r="I1247" s="22">
        <f>Table1[[#This Row],[Total Weight Imported (lbs)]]*0.453592</f>
        <v>45.359200000000001</v>
      </c>
      <c r="J1247" s="23">
        <f>320.3</f>
        <v>320.3</v>
      </c>
      <c r="K1247" s="41"/>
    </row>
    <row r="1248" spans="1:11" ht="15.75" customHeight="1">
      <c r="A1248" s="28" t="s">
        <v>274</v>
      </c>
      <c r="B1248" s="28" t="s">
        <v>14</v>
      </c>
      <c r="C1248" s="28" t="s">
        <v>14</v>
      </c>
      <c r="D1248" s="28" t="str">
        <f>VLOOKUP(Table1[[#This Row],[Point of Origin]],Table2[#All],2,0)</f>
        <v>USA</v>
      </c>
      <c r="E1248" s="28" t="str">
        <f>VLOOKUP(Table1[[#This Row],[Point of Origin]],Table2[#All],3,0)</f>
        <v>Domestic</v>
      </c>
      <c r="F1248" s="28" t="s">
        <v>154</v>
      </c>
      <c r="G1248" s="21" t="s">
        <v>155</v>
      </c>
      <c r="H1248" s="22">
        <f>(2*72)</f>
        <v>144</v>
      </c>
      <c r="I1248" s="22">
        <f>Table1[[#This Row],[Total Weight Imported (lbs)]]*0.453592</f>
        <v>65.317248000000006</v>
      </c>
      <c r="J1248" s="23">
        <f>229.36</f>
        <v>229.36</v>
      </c>
      <c r="K1248" s="1"/>
    </row>
    <row r="1249" spans="1:11" ht="15.75" customHeight="1">
      <c r="A1249" s="28" t="s">
        <v>274</v>
      </c>
      <c r="B1249" s="28" t="s">
        <v>46</v>
      </c>
      <c r="C1249" s="28" t="s">
        <v>46</v>
      </c>
      <c r="D1249" s="28" t="str">
        <f>VLOOKUP(Table1[[#This Row],[Point of Origin]],Table2[#All],2,0)</f>
        <v>Mexico</v>
      </c>
      <c r="E1249" s="28" t="str">
        <f>VLOOKUP(Table1[[#This Row],[Point of Origin]],Table2[#All],3,0)</f>
        <v>International</v>
      </c>
      <c r="F1249" s="36" t="s">
        <v>96</v>
      </c>
      <c r="G1249" s="21" t="s">
        <v>97</v>
      </c>
      <c r="H1249" s="22">
        <f>24</f>
        <v>24</v>
      </c>
      <c r="I1249" s="22">
        <f>Table1[[#This Row],[Total Weight Imported (lbs)]]*0.453592</f>
        <v>10.886208</v>
      </c>
      <c r="J1249" s="23">
        <f>48.61</f>
        <v>48.61</v>
      </c>
      <c r="K1249" s="1"/>
    </row>
    <row r="1250" spans="1:11" ht="15.75" customHeight="1">
      <c r="A1250" s="28" t="s">
        <v>274</v>
      </c>
      <c r="B1250" s="28" t="s">
        <v>14</v>
      </c>
      <c r="C1250" s="28" t="s">
        <v>14</v>
      </c>
      <c r="D1250" s="28" t="str">
        <f>VLOOKUP(Table1[[#This Row],[Point of Origin]],Table2[#All],2,0)</f>
        <v>USA</v>
      </c>
      <c r="E1250" s="28" t="str">
        <f>VLOOKUP(Table1[[#This Row],[Point of Origin]],Table2[#All],3,0)</f>
        <v>Domestic</v>
      </c>
      <c r="F1250" s="36" t="s">
        <v>248</v>
      </c>
      <c r="G1250" s="21" t="s">
        <v>249</v>
      </c>
      <c r="H1250" s="22">
        <f>144</f>
        <v>144</v>
      </c>
      <c r="I1250" s="22">
        <f>Table1[[#This Row],[Total Weight Imported (lbs)]]*0.453592</f>
        <v>65.317248000000006</v>
      </c>
      <c r="J1250" s="23">
        <f>322.78</f>
        <v>322.77999999999997</v>
      </c>
      <c r="K1250" s="1"/>
    </row>
    <row r="1251" spans="1:11" ht="15.75" customHeight="1">
      <c r="A1251" s="20" t="s">
        <v>275</v>
      </c>
      <c r="B1251" s="20" t="s">
        <v>14</v>
      </c>
      <c r="C1251" s="20" t="s">
        <v>14</v>
      </c>
      <c r="D1251" s="20" t="str">
        <f>VLOOKUP(Table1[[#This Row],[Point of Origin]],Table2[#All],2,0)</f>
        <v>USA</v>
      </c>
      <c r="E1251" s="20" t="str">
        <f>VLOOKUP(Table1[[#This Row],[Point of Origin]],Table2[#All],3,0)</f>
        <v>Domestic</v>
      </c>
      <c r="F1251" s="20" t="s">
        <v>121</v>
      </c>
      <c r="G1251" s="21" t="s">
        <v>122</v>
      </c>
      <c r="H1251" s="22">
        <f>80+200+80+(3*60)+(5*96)+(3*156)+(3*144)+(2*48)+(2*48)+(2*84)+(2*24)</f>
        <v>2328</v>
      </c>
      <c r="I1251" s="22">
        <f>Table1[[#This Row],[Total Weight Imported (lbs)]]*0.453592</f>
        <v>1055.962176</v>
      </c>
      <c r="J1251" s="23">
        <f>76.98+216.44+87.84+184.92+479.06+519.78+468.28+151.95+96.75+267.58+72.37</f>
        <v>2621.95</v>
      </c>
      <c r="K1251" s="1"/>
    </row>
    <row r="1252" spans="1:11" ht="15.75" customHeight="1">
      <c r="A1252" s="20" t="s">
        <v>275</v>
      </c>
      <c r="B1252" s="20" t="s">
        <v>14</v>
      </c>
      <c r="C1252" s="20" t="s">
        <v>14</v>
      </c>
      <c r="D1252" s="20" t="str">
        <f>VLOOKUP(Table1[[#This Row],[Point of Origin]],Table2[#All],2,0)</f>
        <v>USA</v>
      </c>
      <c r="E1252" s="20" t="str">
        <f>VLOOKUP(Table1[[#This Row],[Point of Origin]],Table2[#All],3,0)</f>
        <v>Domestic</v>
      </c>
      <c r="F1252" s="42" t="s">
        <v>121</v>
      </c>
      <c r="G1252" s="21" t="s">
        <v>122</v>
      </c>
      <c r="H1252" s="22">
        <f>(3*36)+120</f>
        <v>228</v>
      </c>
      <c r="I1252" s="22">
        <f>Table1[[#This Row],[Total Weight Imported (lbs)]]*0.453592</f>
        <v>103.418976</v>
      </c>
      <c r="J1252" s="23">
        <f>127.07+137.76</f>
        <v>264.83</v>
      </c>
      <c r="K1252" s="1"/>
    </row>
    <row r="1253" spans="1:11" ht="15.75" customHeight="1">
      <c r="A1253" s="43" t="s">
        <v>275</v>
      </c>
      <c r="B1253" s="32" t="s">
        <v>46</v>
      </c>
      <c r="C1253" s="32" t="s">
        <v>46</v>
      </c>
      <c r="D1253" s="45" t="str">
        <f>VLOOKUP(Table1[[#This Row],[Point of Origin]],Table2[#All],2,0)</f>
        <v>Mexico</v>
      </c>
      <c r="E1253" s="45" t="str">
        <f>VLOOKUP(Table1[[#This Row],[Point of Origin]],Table2[#All],3,0)</f>
        <v>International</v>
      </c>
      <c r="F1253" s="44" t="s">
        <v>147</v>
      </c>
      <c r="G1253" s="21" t="s">
        <v>138</v>
      </c>
      <c r="H1253" s="22">
        <f>50+40+12</f>
        <v>102</v>
      </c>
      <c r="I1253" s="22">
        <f>Table1[[#This Row],[Total Weight Imported (lbs)]]*0.453592</f>
        <v>46.266384000000002</v>
      </c>
      <c r="J1253" s="23">
        <f>37.96+69.29+40.59</f>
        <v>147.84</v>
      </c>
      <c r="K1253" s="41"/>
    </row>
    <row r="1254" spans="1:11" ht="15.75" customHeight="1">
      <c r="A1254" s="43" t="s">
        <v>275</v>
      </c>
      <c r="B1254" s="32" t="s">
        <v>244</v>
      </c>
      <c r="C1254" s="32" t="s">
        <v>244</v>
      </c>
      <c r="D1254" s="45" t="str">
        <f>VLOOKUP(Table1[[#This Row],[Point of Origin]],Table2[#All],2,0)</f>
        <v>Chile</v>
      </c>
      <c r="E1254" s="45" t="str">
        <f>VLOOKUP(Table1[[#This Row],[Point of Origin]],Table2[#All],3,0)</f>
        <v>International</v>
      </c>
      <c r="F1254" s="44" t="s">
        <v>71</v>
      </c>
      <c r="G1254" s="21" t="s">
        <v>72</v>
      </c>
      <c r="H1254" s="22">
        <f>774+954</f>
        <v>1728</v>
      </c>
      <c r="I1254" s="22">
        <f>Table1[[#This Row],[Total Weight Imported (lbs)]]*0.453592</f>
        <v>783.80697599999996</v>
      </c>
      <c r="J1254" s="23">
        <f>2207.1+2720.38</f>
        <v>4927.4799999999996</v>
      </c>
      <c r="K1254" s="41"/>
    </row>
    <row r="1255" spans="1:11" ht="15.75" customHeight="1">
      <c r="A1255" s="43" t="s">
        <v>275</v>
      </c>
      <c r="B1255" s="32" t="s">
        <v>14</v>
      </c>
      <c r="C1255" s="32" t="s">
        <v>14</v>
      </c>
      <c r="D1255" s="45" t="str">
        <f>VLOOKUP(Table1[[#This Row],[Point of Origin]],Table2[#All],2,0)</f>
        <v>USA</v>
      </c>
      <c r="E1255" s="45" t="str">
        <f>VLOOKUP(Table1[[#This Row],[Point of Origin]],Table2[#All],3,0)</f>
        <v>Domestic</v>
      </c>
      <c r="F1255" s="44" t="s">
        <v>161</v>
      </c>
      <c r="G1255" s="21" t="s">
        <v>162</v>
      </c>
      <c r="H1255" s="22">
        <f>3500</f>
        <v>3500</v>
      </c>
      <c r="I1255" s="22">
        <f>Table1[[#This Row],[Total Weight Imported (lbs)]]*0.453592</f>
        <v>1587.5719999999999</v>
      </c>
      <c r="J1255" s="23">
        <f>2276.05</f>
        <v>2276.0500000000002</v>
      </c>
      <c r="K1255" s="41"/>
    </row>
    <row r="1256" spans="1:11" ht="15.75" customHeight="1">
      <c r="A1256" s="43" t="s">
        <v>275</v>
      </c>
      <c r="B1256" s="32" t="s">
        <v>14</v>
      </c>
      <c r="C1256" s="32" t="s">
        <v>14</v>
      </c>
      <c r="D1256" s="45" t="str">
        <f>VLOOKUP(Table1[[#This Row],[Point of Origin]],Table2[#All],2,0)</f>
        <v>USA</v>
      </c>
      <c r="E1256" s="45" t="str">
        <f>VLOOKUP(Table1[[#This Row],[Point of Origin]],Table2[#All],3,0)</f>
        <v>Domestic</v>
      </c>
      <c r="F1256" s="44" t="s">
        <v>157</v>
      </c>
      <c r="G1256" s="21" t="s">
        <v>127</v>
      </c>
      <c r="H1256" s="22">
        <f>245</f>
        <v>245</v>
      </c>
      <c r="I1256" s="22">
        <f>Table1[[#This Row],[Total Weight Imported (lbs)]]*0.453592</f>
        <v>111.13003999999999</v>
      </c>
      <c r="J1256" s="23">
        <f>196.86</f>
        <v>196.86</v>
      </c>
      <c r="K1256" s="41"/>
    </row>
    <row r="1257" spans="1:11" ht="15.75" customHeight="1">
      <c r="A1257" s="43" t="s">
        <v>275</v>
      </c>
      <c r="B1257" s="32" t="s">
        <v>14</v>
      </c>
      <c r="C1257" s="32" t="s">
        <v>14</v>
      </c>
      <c r="D1257" s="45" t="str">
        <f>VLOOKUP(Table1[[#This Row],[Point of Origin]],Table2[#All],2,0)</f>
        <v>USA</v>
      </c>
      <c r="E1257" s="45" t="str">
        <f>VLOOKUP(Table1[[#This Row],[Point of Origin]],Table2[#All],3,0)</f>
        <v>Domestic</v>
      </c>
      <c r="F1257" s="44" t="s">
        <v>137</v>
      </c>
      <c r="G1257" s="21" t="s">
        <v>138</v>
      </c>
      <c r="H1257" s="22">
        <f>105+(2*126)</f>
        <v>357</v>
      </c>
      <c r="I1257" s="22">
        <f>Table1[[#This Row],[Total Weight Imported (lbs)]]*0.453592</f>
        <v>161.932344</v>
      </c>
      <c r="J1257" s="23">
        <f>227.94+338.38</f>
        <v>566.31999999999994</v>
      </c>
      <c r="K1257" s="1"/>
    </row>
    <row r="1258" spans="1:11" ht="15.75" customHeight="1">
      <c r="A1258" s="43" t="s">
        <v>275</v>
      </c>
      <c r="B1258" s="32" t="s">
        <v>46</v>
      </c>
      <c r="C1258" s="32" t="s">
        <v>46</v>
      </c>
      <c r="D1258" s="45" t="str">
        <f>VLOOKUP(Table1[[#This Row],[Point of Origin]],Table2[#All],2,0)</f>
        <v>Mexico</v>
      </c>
      <c r="E1258" s="45" t="str">
        <f>VLOOKUP(Table1[[#This Row],[Point of Origin]],Table2[#All],3,0)</f>
        <v>International</v>
      </c>
      <c r="F1258" s="44" t="s">
        <v>137</v>
      </c>
      <c r="G1258" s="21" t="s">
        <v>138</v>
      </c>
      <c r="H1258" s="22">
        <f>(2*36)</f>
        <v>72</v>
      </c>
      <c r="I1258" s="22">
        <f>Table1[[#This Row],[Total Weight Imported (lbs)]]*0.453592</f>
        <v>32.658624000000003</v>
      </c>
      <c r="J1258" s="23">
        <f>95.15</f>
        <v>95.15</v>
      </c>
      <c r="K1258" s="1"/>
    </row>
    <row r="1259" spans="1:11" ht="15.75" customHeight="1">
      <c r="A1259" s="43" t="s">
        <v>275</v>
      </c>
      <c r="B1259" s="32" t="s">
        <v>244</v>
      </c>
      <c r="C1259" s="32" t="s">
        <v>244</v>
      </c>
      <c r="D1259" s="45" t="str">
        <f>VLOOKUP(Table1[[#This Row],[Point of Origin]],Table2[#All],2,0)</f>
        <v>Chile</v>
      </c>
      <c r="E1259" s="45" t="str">
        <f>VLOOKUP(Table1[[#This Row],[Point of Origin]],Table2[#All],3,0)</f>
        <v>International</v>
      </c>
      <c r="F1259" s="45" t="s">
        <v>154</v>
      </c>
      <c r="G1259" s="21" t="s">
        <v>155</v>
      </c>
      <c r="H1259" s="22">
        <f>40</f>
        <v>40</v>
      </c>
      <c r="I1259" s="22">
        <f>Table1[[#This Row],[Total Weight Imported (lbs)]]*0.453592</f>
        <v>18.14368</v>
      </c>
      <c r="J1259" s="23">
        <f>63.92</f>
        <v>63.92</v>
      </c>
      <c r="K1259" s="1"/>
    </row>
    <row r="1260" spans="1:11" ht="15.75" customHeight="1">
      <c r="A1260" s="43" t="s">
        <v>275</v>
      </c>
      <c r="B1260" s="32" t="s">
        <v>14</v>
      </c>
      <c r="C1260" s="32" t="s">
        <v>14</v>
      </c>
      <c r="D1260" s="45" t="str">
        <f>VLOOKUP(Table1[[#This Row],[Point of Origin]],Table2[#All],2,0)</f>
        <v>USA</v>
      </c>
      <c r="E1260" s="45" t="str">
        <f>VLOOKUP(Table1[[#This Row],[Point of Origin]],Table2[#All],3,0)</f>
        <v>Domestic</v>
      </c>
      <c r="F1260" s="45" t="s">
        <v>154</v>
      </c>
      <c r="G1260" s="21" t="s">
        <v>155</v>
      </c>
      <c r="H1260" s="22">
        <f>44+(2*48)</f>
        <v>140</v>
      </c>
      <c r="I1260" s="22">
        <f>Table1[[#This Row],[Total Weight Imported (lbs)]]*0.453592</f>
        <v>63.502879999999998</v>
      </c>
      <c r="J1260" s="23">
        <f>68.92+152.91</f>
        <v>221.82999999999998</v>
      </c>
      <c r="K1260" s="1"/>
    </row>
    <row r="1261" spans="1:11" ht="15.75" customHeight="1">
      <c r="A1261" s="43" t="s">
        <v>275</v>
      </c>
      <c r="B1261" s="32" t="s">
        <v>46</v>
      </c>
      <c r="C1261" s="32" t="s">
        <v>46</v>
      </c>
      <c r="D1261" s="31" t="str">
        <f>VLOOKUP(Table1[[#This Row],[Point of Origin]],Table2[#All],2,0)</f>
        <v>Mexico</v>
      </c>
      <c r="E1261" s="31" t="str">
        <f>VLOOKUP(Table1[[#This Row],[Point of Origin]],Table2[#All],3,0)</f>
        <v>International</v>
      </c>
      <c r="F1261" s="20" t="s">
        <v>21</v>
      </c>
      <c r="G1261" s="21" t="s">
        <v>22</v>
      </c>
      <c r="H1261" s="22">
        <f>25</f>
        <v>25</v>
      </c>
      <c r="I1261" s="22">
        <f>Table1[[#This Row],[Total Weight Imported (lbs)]]*0.453592</f>
        <v>11.3398</v>
      </c>
      <c r="J1261" s="23">
        <v>38.54</v>
      </c>
      <c r="K1261" s="41"/>
    </row>
    <row r="1262" spans="1:11" ht="15.75" customHeight="1">
      <c r="A1262" s="43" t="s">
        <v>275</v>
      </c>
      <c r="B1262" s="32" t="s">
        <v>271</v>
      </c>
      <c r="C1262" s="32" t="s">
        <v>271</v>
      </c>
      <c r="D1262" s="45" t="str">
        <f>VLOOKUP(Table1[[#This Row],[Point of Origin]],Table2[#All],2,0)</f>
        <v>China</v>
      </c>
      <c r="E1262" s="45" t="str">
        <f>VLOOKUP(Table1[[#This Row],[Point of Origin]],Table2[#All],3,0)</f>
        <v>International</v>
      </c>
      <c r="F1262" s="44" t="s">
        <v>163</v>
      </c>
      <c r="G1262" s="21" t="s">
        <v>164</v>
      </c>
      <c r="H1262" s="22">
        <f>150</f>
        <v>150</v>
      </c>
      <c r="I1262" s="22">
        <f>Table1[[#This Row],[Total Weight Imported (lbs)]]*0.453592</f>
        <v>68.038799999999995</v>
      </c>
      <c r="J1262" s="23">
        <f>325.12</f>
        <v>325.12</v>
      </c>
      <c r="K1262" s="41"/>
    </row>
    <row r="1263" spans="1:11" ht="15.75" customHeight="1">
      <c r="A1263" s="43" t="s">
        <v>275</v>
      </c>
      <c r="B1263" s="32" t="s">
        <v>14</v>
      </c>
      <c r="C1263" s="32" t="s">
        <v>14</v>
      </c>
      <c r="D1263" s="45" t="str">
        <f>VLOOKUP(Table1[[#This Row],[Point of Origin]],Table2[#All],2,0)</f>
        <v>USA</v>
      </c>
      <c r="E1263" s="45" t="str">
        <f>VLOOKUP(Table1[[#This Row],[Point of Origin]],Table2[#All],3,0)</f>
        <v>Domestic</v>
      </c>
      <c r="F1263" s="45" t="s">
        <v>76</v>
      </c>
      <c r="G1263" s="21" t="s">
        <v>77</v>
      </c>
      <c r="H1263" s="22">
        <f>50+100+1520+160+96+(2*72)+(2*72)+(2*216)+(2*12)+(2*12)</f>
        <v>2694</v>
      </c>
      <c r="I1263" s="22">
        <f>Table1[[#This Row],[Total Weight Imported (lbs)]]*0.453592</f>
        <v>1221.976848</v>
      </c>
      <c r="J1263" s="23">
        <f>182.15+126.27+1389.75+178.62+166.96+157.36+125.22+367.02+57.19+5023</f>
        <v>7773.54</v>
      </c>
      <c r="K1263" s="1"/>
    </row>
    <row r="1264" spans="1:11" ht="15.75" customHeight="1">
      <c r="A1264" s="43" t="s">
        <v>275</v>
      </c>
      <c r="B1264" s="32" t="s">
        <v>14</v>
      </c>
      <c r="C1264" s="32" t="s">
        <v>14</v>
      </c>
      <c r="D1264" s="45" t="str">
        <f>VLOOKUP(Table1[[#This Row],[Point of Origin]],Table2[#All],2,0)</f>
        <v>USA</v>
      </c>
      <c r="E1264" s="45" t="str">
        <f>VLOOKUP(Table1[[#This Row],[Point of Origin]],Table2[#All],3,0)</f>
        <v>Domestic</v>
      </c>
      <c r="F1264" s="44" t="s">
        <v>102</v>
      </c>
      <c r="G1264" s="21" t="s">
        <v>32</v>
      </c>
      <c r="H1264" s="22">
        <f>4</f>
        <v>4</v>
      </c>
      <c r="I1264" s="22">
        <f>Table1[[#This Row],[Total Weight Imported (lbs)]]*0.453592</f>
        <v>1.814368</v>
      </c>
      <c r="J1264" s="23">
        <f>19.27</f>
        <v>19.27</v>
      </c>
      <c r="K1264" s="41"/>
    </row>
    <row r="1265" spans="1:11" ht="15.75" customHeight="1">
      <c r="A1265" s="43" t="s">
        <v>275</v>
      </c>
      <c r="B1265" s="32" t="s">
        <v>14</v>
      </c>
      <c r="C1265" s="32" t="s">
        <v>14</v>
      </c>
      <c r="D1265" s="45" t="str">
        <f>VLOOKUP(Table1[[#This Row],[Point of Origin]],Table2[#All],2,0)</f>
        <v>USA</v>
      </c>
      <c r="E1265" s="45" t="str">
        <f>VLOOKUP(Table1[[#This Row],[Point of Origin]],Table2[#All],3,0)</f>
        <v>Domestic</v>
      </c>
      <c r="F1265" s="45" t="s">
        <v>124</v>
      </c>
      <c r="G1265" s="21" t="s">
        <v>30</v>
      </c>
      <c r="H1265" s="22">
        <f>25</f>
        <v>25</v>
      </c>
      <c r="I1265" s="22">
        <f>Table1[[#This Row],[Total Weight Imported (lbs)]]*0.453592</f>
        <v>11.3398</v>
      </c>
      <c r="J1265" s="23">
        <f>35.23</f>
        <v>35.229999999999997</v>
      </c>
      <c r="K1265" s="41"/>
    </row>
    <row r="1266" spans="1:11" ht="15.75" customHeight="1">
      <c r="A1266" s="43" t="s">
        <v>275</v>
      </c>
      <c r="B1266" s="32" t="s">
        <v>14</v>
      </c>
      <c r="C1266" s="32" t="s">
        <v>14</v>
      </c>
      <c r="D1266" s="31" t="str">
        <f>VLOOKUP(Table1[[#This Row],[Point of Origin]],Table2[#All],2,0)</f>
        <v>USA</v>
      </c>
      <c r="E1266" s="31" t="str">
        <f>VLOOKUP(Table1[[#This Row],[Point of Origin]],Table2[#All],3,0)</f>
        <v>Domestic</v>
      </c>
      <c r="F1266" s="20" t="s">
        <v>19</v>
      </c>
      <c r="G1266" s="21" t="s">
        <v>20</v>
      </c>
      <c r="H1266" s="22">
        <f>260+16</f>
        <v>276</v>
      </c>
      <c r="I1266" s="22">
        <f>Table1[[#This Row],[Total Weight Imported (lbs)]]*0.453592</f>
        <v>125.19139199999999</v>
      </c>
      <c r="J1266" s="23">
        <f>397.29+78.04</f>
        <v>475.33000000000004</v>
      </c>
      <c r="K1266" s="41"/>
    </row>
    <row r="1267" spans="1:11" ht="15.75" customHeight="1">
      <c r="A1267" s="43" t="s">
        <v>275</v>
      </c>
      <c r="B1267" s="32" t="s">
        <v>14</v>
      </c>
      <c r="C1267" s="32" t="s">
        <v>14</v>
      </c>
      <c r="D1267" s="45" t="str">
        <f>VLOOKUP(Table1[[#This Row],[Point of Origin]],Table2[#All],2,0)</f>
        <v>USA</v>
      </c>
      <c r="E1267" s="45" t="str">
        <f>VLOOKUP(Table1[[#This Row],[Point of Origin]],Table2[#All],3,0)</f>
        <v>Domestic</v>
      </c>
      <c r="F1267" s="44" t="s">
        <v>148</v>
      </c>
      <c r="G1267" s="21" t="s">
        <v>20</v>
      </c>
      <c r="H1267" s="22">
        <f>60</f>
        <v>60</v>
      </c>
      <c r="I1267" s="22">
        <f>Table1[[#This Row],[Total Weight Imported (lbs)]]*0.453592</f>
        <v>27.215519999999998</v>
      </c>
      <c r="J1267" s="23">
        <f>79.72</f>
        <v>79.72</v>
      </c>
      <c r="K1267" s="1"/>
    </row>
    <row r="1268" spans="1:11" ht="15.75" customHeight="1">
      <c r="A1268" s="43" t="s">
        <v>275</v>
      </c>
      <c r="B1268" s="32" t="s">
        <v>14</v>
      </c>
      <c r="C1268" s="32" t="s">
        <v>14</v>
      </c>
      <c r="D1268" s="45" t="str">
        <f>VLOOKUP(Table1[[#This Row],[Point of Origin]],Table2[#All],2,0)</f>
        <v>USA</v>
      </c>
      <c r="E1268" s="45" t="str">
        <f>VLOOKUP(Table1[[#This Row],[Point of Origin]],Table2[#All],3,0)</f>
        <v>Domestic</v>
      </c>
      <c r="F1268" s="45" t="s">
        <v>82</v>
      </c>
      <c r="G1268" s="21" t="s">
        <v>20</v>
      </c>
      <c r="H1268" s="22">
        <f>210+720+135+50</f>
        <v>1115</v>
      </c>
      <c r="I1268" s="22">
        <f>Table1[[#This Row],[Total Weight Imported (lbs)]]*0.453592</f>
        <v>505.75508000000002</v>
      </c>
      <c r="J1268" s="23">
        <f>274.57+735.52+142.36+67.19</f>
        <v>1219.6399999999999</v>
      </c>
      <c r="K1268" s="41"/>
    </row>
    <row r="1269" spans="1:11" ht="15.75" customHeight="1">
      <c r="A1269" s="43" t="s">
        <v>275</v>
      </c>
      <c r="B1269" s="32" t="s">
        <v>14</v>
      </c>
      <c r="C1269" s="32" t="s">
        <v>14</v>
      </c>
      <c r="D1269" s="45" t="str">
        <f>VLOOKUP(Table1[[#This Row],[Point of Origin]],Table2[#All],2,0)</f>
        <v>USA</v>
      </c>
      <c r="E1269" s="45" t="str">
        <f>VLOOKUP(Table1[[#This Row],[Point of Origin]],Table2[#All],3,0)</f>
        <v>Domestic</v>
      </c>
      <c r="F1269" s="44" t="s">
        <v>141</v>
      </c>
      <c r="G1269" s="21" t="s">
        <v>142</v>
      </c>
      <c r="H1269" s="22">
        <f>1050+200+(5*180)+(10*95)+(5*20)+50+(5*50)+50+50</f>
        <v>3600</v>
      </c>
      <c r="I1269" s="22">
        <f>Table1[[#This Row],[Total Weight Imported (lbs)]]*0.453592</f>
        <v>1632.9312</v>
      </c>
      <c r="J1269" s="23">
        <f>660.51+189.61+584.15+616.6+66.91+52.4+167.26+156.21+162.21</f>
        <v>2655.8599999999997</v>
      </c>
      <c r="K1269" s="41"/>
    </row>
    <row r="1270" spans="1:11" ht="15.75" customHeight="1">
      <c r="A1270" s="43" t="s">
        <v>275</v>
      </c>
      <c r="B1270" s="32" t="s">
        <v>14</v>
      </c>
      <c r="C1270" s="32" t="s">
        <v>14</v>
      </c>
      <c r="D1270" s="45" t="str">
        <f>VLOOKUP(Table1[[#This Row],[Point of Origin]],Table2[#All],2,0)</f>
        <v>USA</v>
      </c>
      <c r="E1270" s="45" t="str">
        <f>VLOOKUP(Table1[[#This Row],[Point of Origin]],Table2[#All],3,0)</f>
        <v>Domestic</v>
      </c>
      <c r="F1270" s="45" t="s">
        <v>128</v>
      </c>
      <c r="G1270" s="21" t="s">
        <v>129</v>
      </c>
      <c r="H1270" s="22">
        <f>200+60</f>
        <v>260</v>
      </c>
      <c r="I1270" s="22">
        <f>Table1[[#This Row],[Total Weight Imported (lbs)]]*0.453592</f>
        <v>117.93392</v>
      </c>
      <c r="J1270" s="23">
        <f>246.44+235.32</f>
        <v>481.76</v>
      </c>
      <c r="K1270" s="41"/>
    </row>
    <row r="1271" spans="1:11" ht="15.75" customHeight="1">
      <c r="A1271" s="42" t="s">
        <v>275</v>
      </c>
      <c r="B1271" s="42" t="s">
        <v>14</v>
      </c>
      <c r="C1271" s="42" t="s">
        <v>14</v>
      </c>
      <c r="D1271" s="46" t="str">
        <f>VLOOKUP(Table1[[#This Row],[Point of Origin]],Table2[#All],2,0)</f>
        <v>USA</v>
      </c>
      <c r="E1271" s="46" t="str">
        <f>VLOOKUP(Table1[[#This Row],[Point of Origin]],Table2[#All],3,0)</f>
        <v>Domestic</v>
      </c>
      <c r="F1271" s="46" t="s">
        <v>40</v>
      </c>
      <c r="G1271" s="21" t="s">
        <v>41</v>
      </c>
      <c r="H1271" s="22">
        <f>2+(2*72)+(5*20)+90+48+(2*48)</f>
        <v>480</v>
      </c>
      <c r="I1271" s="22">
        <f>Table1[[#This Row],[Total Weight Imported (lbs)]]*0.453592</f>
        <v>217.72415999999998</v>
      </c>
      <c r="J1271" s="23">
        <f>77.78+116.58+78.91+106.87+77.41+94.52</f>
        <v>552.06999999999994</v>
      </c>
      <c r="K1271" s="41"/>
    </row>
    <row r="1272" spans="1:11" ht="15.75" customHeight="1">
      <c r="A1272" s="42" t="s">
        <v>275</v>
      </c>
      <c r="B1272" s="42" t="s">
        <v>46</v>
      </c>
      <c r="C1272" s="42" t="s">
        <v>46</v>
      </c>
      <c r="D1272" s="46" t="str">
        <f>VLOOKUP(Table1[[#This Row],[Point of Origin]],Table2[#All],2,0)</f>
        <v>Mexico</v>
      </c>
      <c r="E1272" s="46" t="str">
        <f>VLOOKUP(Table1[[#This Row],[Point of Origin]],Table2[#All],3,0)</f>
        <v>International</v>
      </c>
      <c r="F1272" s="46" t="s">
        <v>38</v>
      </c>
      <c r="G1272" s="21" t="s">
        <v>39</v>
      </c>
      <c r="H1272" s="22">
        <f>96+75+45+(2*96)+6+15</f>
        <v>429</v>
      </c>
      <c r="I1272" s="22">
        <f>Table1[[#This Row],[Total Weight Imported (lbs)]]*0.453592</f>
        <v>194.590968</v>
      </c>
      <c r="J1272" s="23">
        <f>195.76+216.07+129.39+226.13+39.64+43.85</f>
        <v>850.84</v>
      </c>
      <c r="K1272" s="41"/>
    </row>
    <row r="1273" spans="1:11" ht="15.75" customHeight="1">
      <c r="A1273" s="42" t="s">
        <v>275</v>
      </c>
      <c r="B1273" s="42" t="s">
        <v>14</v>
      </c>
      <c r="C1273" s="42" t="s">
        <v>14</v>
      </c>
      <c r="D1273" s="46" t="str">
        <f>VLOOKUP(Table1[[#This Row],[Point of Origin]],Table2[#All],2,0)</f>
        <v>USA</v>
      </c>
      <c r="E1273" s="46" t="str">
        <f>VLOOKUP(Table1[[#This Row],[Point of Origin]],Table2[#All],3,0)</f>
        <v>Domestic</v>
      </c>
      <c r="F1273" s="46" t="s">
        <v>38</v>
      </c>
      <c r="G1273" s="21" t="s">
        <v>39</v>
      </c>
      <c r="H1273" s="22">
        <f>12</f>
        <v>12</v>
      </c>
      <c r="I1273" s="22">
        <f>Table1[[#This Row],[Total Weight Imported (lbs)]]*0.453592</f>
        <v>5.4431039999999999</v>
      </c>
      <c r="J1273" s="23">
        <f>79.29</f>
        <v>79.290000000000006</v>
      </c>
      <c r="K1273" s="41"/>
    </row>
    <row r="1274" spans="1:11" ht="15.75" customHeight="1">
      <c r="A1274" s="42" t="s">
        <v>275</v>
      </c>
      <c r="B1274" s="42" t="s">
        <v>46</v>
      </c>
      <c r="C1274" s="42" t="s">
        <v>46</v>
      </c>
      <c r="D1274" s="46" t="str">
        <f>VLOOKUP(Table1[[#This Row],[Point of Origin]],Table2[#All],2,0)</f>
        <v>Mexico</v>
      </c>
      <c r="E1274" s="46" t="str">
        <f>VLOOKUP(Table1[[#This Row],[Point of Origin]],Table2[#All],3,0)</f>
        <v>International</v>
      </c>
      <c r="F1274" s="46" t="s">
        <v>63</v>
      </c>
      <c r="G1274" s="21" t="s">
        <v>64</v>
      </c>
      <c r="H1274" s="22">
        <f>140</f>
        <v>140</v>
      </c>
      <c r="I1274" s="22">
        <f>Table1[[#This Row],[Total Weight Imported (lbs)]]*0.453592</f>
        <v>63.502879999999998</v>
      </c>
      <c r="J1274" s="23">
        <f>154.63</f>
        <v>154.63</v>
      </c>
      <c r="K1274" s="1"/>
    </row>
    <row r="1275" spans="1:11" ht="15.75" customHeight="1">
      <c r="A1275" s="42" t="s">
        <v>275</v>
      </c>
      <c r="B1275" s="42" t="s">
        <v>14</v>
      </c>
      <c r="C1275" s="42" t="s">
        <v>14</v>
      </c>
      <c r="D1275" s="46" t="str">
        <f>VLOOKUP(Table1[[#This Row],[Point of Origin]],Table2[#All],2,0)</f>
        <v>USA</v>
      </c>
      <c r="E1275" s="46" t="str">
        <f>VLOOKUP(Table1[[#This Row],[Point of Origin]],Table2[#All],3,0)</f>
        <v>Domestic</v>
      </c>
      <c r="F1275" s="46" t="s">
        <v>83</v>
      </c>
      <c r="G1275" s="21" t="s">
        <v>32</v>
      </c>
      <c r="H1275" s="22">
        <f>12</f>
        <v>12</v>
      </c>
      <c r="I1275" s="22">
        <f>Table1[[#This Row],[Total Weight Imported (lbs)]]*0.453592</f>
        <v>5.4431039999999999</v>
      </c>
      <c r="J1275" s="23">
        <f>60.98</f>
        <v>60.98</v>
      </c>
      <c r="K1275" s="41"/>
    </row>
    <row r="1276" spans="1:11" ht="15.75" customHeight="1">
      <c r="A1276" s="42" t="s">
        <v>275</v>
      </c>
      <c r="B1276" s="42" t="s">
        <v>14</v>
      </c>
      <c r="C1276" s="42" t="s">
        <v>14</v>
      </c>
      <c r="D1276" s="46" t="str">
        <f>VLOOKUP(Table1[[#This Row],[Point of Origin]],Table2[#All],2,0)</f>
        <v>USA</v>
      </c>
      <c r="E1276" s="46" t="str">
        <f>VLOOKUP(Table1[[#This Row],[Point of Origin]],Table2[#All],3,0)</f>
        <v>Domestic</v>
      </c>
      <c r="F1276" s="46" t="s">
        <v>59</v>
      </c>
      <c r="G1276" s="21" t="s">
        <v>60</v>
      </c>
      <c r="H1276" s="22">
        <f>120+2+216+18+2+60+24</f>
        <v>442</v>
      </c>
      <c r="I1276" s="22">
        <f>Table1[[#This Row],[Total Weight Imported (lbs)]]*0.453592</f>
        <v>200.487664</v>
      </c>
      <c r="J1276" s="23">
        <f>339.61+231.5+436.33+33.07+230.02+120.77+54.63</f>
        <v>1445.93</v>
      </c>
      <c r="K1276" s="41"/>
    </row>
    <row r="1277" spans="1:11" ht="15.75" customHeight="1">
      <c r="A1277" s="42" t="s">
        <v>275</v>
      </c>
      <c r="B1277" s="42" t="s">
        <v>46</v>
      </c>
      <c r="C1277" s="42" t="s">
        <v>46</v>
      </c>
      <c r="D1277" s="46" t="str">
        <f>VLOOKUP(Table1[[#This Row],[Point of Origin]],Table2[#All],2,0)</f>
        <v>Mexico</v>
      </c>
      <c r="E1277" s="46" t="str">
        <f>VLOOKUP(Table1[[#This Row],[Point of Origin]],Table2[#All],3,0)</f>
        <v>International</v>
      </c>
      <c r="F1277" s="46" t="s">
        <v>67</v>
      </c>
      <c r="G1277" s="21" t="s">
        <v>68</v>
      </c>
      <c r="H1277" s="22">
        <f>205</f>
        <v>205</v>
      </c>
      <c r="I1277" s="22">
        <f>Table1[[#This Row],[Total Weight Imported (lbs)]]*0.453592</f>
        <v>92.986360000000005</v>
      </c>
      <c r="J1277" s="23">
        <f>681.69</f>
        <v>681.69</v>
      </c>
      <c r="K1277" s="41"/>
    </row>
    <row r="1278" spans="1:11" ht="15.75" customHeight="1">
      <c r="A1278" s="42" t="s">
        <v>275</v>
      </c>
      <c r="B1278" s="42" t="s">
        <v>14</v>
      </c>
      <c r="C1278" s="42" t="s">
        <v>14</v>
      </c>
      <c r="D1278" s="46" t="str">
        <f>VLOOKUP(Table1[[#This Row],[Point of Origin]],Table2[#All],2,0)</f>
        <v>USA</v>
      </c>
      <c r="E1278" s="46" t="str">
        <f>VLOOKUP(Table1[[#This Row],[Point of Origin]],Table2[#All],3,0)</f>
        <v>Domestic</v>
      </c>
      <c r="F1278" s="46" t="s">
        <v>130</v>
      </c>
      <c r="G1278" s="21" t="s">
        <v>131</v>
      </c>
      <c r="H1278" s="22">
        <f>(3*640)</f>
        <v>1920</v>
      </c>
      <c r="I1278" s="22">
        <f>Table1[[#This Row],[Total Weight Imported (lbs)]]*0.453592</f>
        <v>870.89663999999993</v>
      </c>
      <c r="J1278" s="23">
        <f>4508.24</f>
        <v>4508.24</v>
      </c>
      <c r="K1278" s="1"/>
    </row>
    <row r="1279" spans="1:11" ht="15.75" customHeight="1">
      <c r="A1279" s="42" t="s">
        <v>275</v>
      </c>
      <c r="B1279" s="42" t="s">
        <v>273</v>
      </c>
      <c r="C1279" s="42" t="s">
        <v>273</v>
      </c>
      <c r="D1279" s="46" t="str">
        <f>VLOOKUP(Table1[[#This Row],[Point of Origin]],Table2[#All],2,0)</f>
        <v> Costa Rica</v>
      </c>
      <c r="E1279" s="46" t="str">
        <f>VLOOKUP(Table1[[#This Row],[Point of Origin]],Table2[#All],3,0)</f>
        <v>International</v>
      </c>
      <c r="F1279" s="46" t="s">
        <v>159</v>
      </c>
      <c r="G1279" s="21" t="s">
        <v>160</v>
      </c>
      <c r="H1279" s="22">
        <f>3</f>
        <v>3</v>
      </c>
      <c r="I1279" s="22">
        <f>Table1[[#This Row],[Total Weight Imported (lbs)]]*0.453592</f>
        <v>1.360776</v>
      </c>
      <c r="J1279" s="23">
        <f>258.75</f>
        <v>258.75</v>
      </c>
      <c r="K1279" s="1"/>
    </row>
    <row r="1280" spans="1:11" ht="15.75" customHeight="1">
      <c r="A1280" s="42" t="s">
        <v>275</v>
      </c>
      <c r="B1280" s="42" t="s">
        <v>46</v>
      </c>
      <c r="C1280" s="42" t="s">
        <v>46</v>
      </c>
      <c r="D1280" s="46" t="str">
        <f>VLOOKUP(Table1[[#This Row],[Point of Origin]],Table2[#All],2,0)</f>
        <v>Mexico</v>
      </c>
      <c r="E1280" s="46" t="str">
        <f>VLOOKUP(Table1[[#This Row],[Point of Origin]],Table2[#All],3,0)</f>
        <v>International</v>
      </c>
      <c r="F1280" s="46" t="s">
        <v>61</v>
      </c>
      <c r="G1280" s="21" t="s">
        <v>62</v>
      </c>
      <c r="H1280" s="22">
        <f>96+(1*108)</f>
        <v>204</v>
      </c>
      <c r="I1280" s="22">
        <f>Table1[[#This Row],[Total Weight Imported (lbs)]]*0.453592</f>
        <v>92.532768000000004</v>
      </c>
      <c r="J1280" s="23">
        <f>589.84+237.51</f>
        <v>827.35</v>
      </c>
      <c r="K1280" s="41"/>
    </row>
    <row r="1281" spans="1:11" ht="15.75" customHeight="1">
      <c r="A1281" s="42" t="s">
        <v>275</v>
      </c>
      <c r="B1281" s="42" t="s">
        <v>46</v>
      </c>
      <c r="C1281" s="42" t="s">
        <v>46</v>
      </c>
      <c r="D1281" s="46" t="str">
        <f>VLOOKUP(Table1[[#This Row],[Point of Origin]],Table2[#All],2,0)</f>
        <v>Mexico</v>
      </c>
      <c r="E1281" s="46" t="str">
        <f>VLOOKUP(Table1[[#This Row],[Point of Origin]],Table2[#All],3,0)</f>
        <v>International</v>
      </c>
      <c r="F1281" s="46" t="s">
        <v>61</v>
      </c>
      <c r="G1281" s="21" t="s">
        <v>62</v>
      </c>
      <c r="H1281" s="22">
        <f>40+(1*60)</f>
        <v>100</v>
      </c>
      <c r="I1281" s="22">
        <f>Table1[[#This Row],[Total Weight Imported (lbs)]]*0.453592</f>
        <v>45.359200000000001</v>
      </c>
      <c r="J1281" s="23">
        <f>67.29+103.93</f>
        <v>171.22000000000003</v>
      </c>
      <c r="K1281" s="41"/>
    </row>
    <row r="1282" spans="1:11" ht="15.75" customHeight="1">
      <c r="A1282" s="42" t="s">
        <v>275</v>
      </c>
      <c r="B1282" s="42" t="s">
        <v>14</v>
      </c>
      <c r="C1282" s="42" t="s">
        <v>14</v>
      </c>
      <c r="D1282" s="46" t="str">
        <f>VLOOKUP(Table1[[#This Row],[Point of Origin]],Table2[#All],2,0)</f>
        <v>USA</v>
      </c>
      <c r="E1282" s="46" t="str">
        <f>VLOOKUP(Table1[[#This Row],[Point of Origin]],Table2[#All],3,0)</f>
        <v>Domestic</v>
      </c>
      <c r="F1282" s="46" t="s">
        <v>79</v>
      </c>
      <c r="G1282" s="21" t="s">
        <v>80</v>
      </c>
      <c r="H1282" s="22">
        <f>48</f>
        <v>48</v>
      </c>
      <c r="I1282" s="22">
        <f>Table1[[#This Row],[Total Weight Imported (lbs)]]*0.453592</f>
        <v>21.772416</v>
      </c>
      <c r="J1282" s="23">
        <f>102.33</f>
        <v>102.33</v>
      </c>
      <c r="K1282" s="1"/>
    </row>
    <row r="1283" spans="1:11" ht="15.75" customHeight="1">
      <c r="A1283" s="42" t="s">
        <v>275</v>
      </c>
      <c r="B1283" s="42" t="s">
        <v>14</v>
      </c>
      <c r="C1283" s="42" t="s">
        <v>14</v>
      </c>
      <c r="D1283" s="46" t="str">
        <f>VLOOKUP(Table1[[#This Row],[Point of Origin]],Table2[#All],2,0)</f>
        <v>USA</v>
      </c>
      <c r="E1283" s="46" t="str">
        <f>VLOOKUP(Table1[[#This Row],[Point of Origin]],Table2[#All],3,0)</f>
        <v>Domestic</v>
      </c>
      <c r="F1283" s="46" t="s">
        <v>36</v>
      </c>
      <c r="G1283" s="21" t="s">
        <v>37</v>
      </c>
      <c r="H1283" s="22">
        <f>12</f>
        <v>12</v>
      </c>
      <c r="I1283" s="22">
        <f>Table1[[#This Row],[Total Weight Imported (lbs)]]*0.453592</f>
        <v>5.4431039999999999</v>
      </c>
      <c r="J1283" s="23">
        <f>20.69</f>
        <v>20.69</v>
      </c>
      <c r="K1283" s="1"/>
    </row>
    <row r="1284" spans="1:11" ht="15.75" customHeight="1">
      <c r="A1284" s="42" t="s">
        <v>275</v>
      </c>
      <c r="B1284" s="42" t="s">
        <v>14</v>
      </c>
      <c r="C1284" s="42" t="s">
        <v>14</v>
      </c>
      <c r="D1284" s="46" t="str">
        <f>VLOOKUP(Table1[[#This Row],[Point of Origin]],Table2[#All],2,0)</f>
        <v>USA</v>
      </c>
      <c r="E1284" s="46" t="str">
        <f>VLOOKUP(Table1[[#This Row],[Point of Origin]],Table2[#All],3,0)</f>
        <v>Domestic</v>
      </c>
      <c r="F1284" s="47" t="s">
        <v>246</v>
      </c>
      <c r="G1284" s="21" t="s">
        <v>247</v>
      </c>
      <c r="H1284" s="22">
        <f>(2*72)</f>
        <v>144</v>
      </c>
      <c r="I1284" s="22">
        <f>Table1[[#This Row],[Total Weight Imported (lbs)]]*0.453592</f>
        <v>65.317248000000006</v>
      </c>
      <c r="J1284" s="23">
        <f>349.6</f>
        <v>349.6</v>
      </c>
      <c r="K1284" s="1"/>
    </row>
    <row r="1285" spans="1:11" ht="15.75" customHeight="1">
      <c r="A1285" s="42" t="s">
        <v>275</v>
      </c>
      <c r="B1285" s="42" t="s">
        <v>271</v>
      </c>
      <c r="C1285" s="42" t="s">
        <v>271</v>
      </c>
      <c r="D1285" s="46" t="str">
        <f>VLOOKUP(Table1[[#This Row],[Point of Origin]],Table2[#All],2,0)</f>
        <v>China</v>
      </c>
      <c r="E1285" s="46" t="str">
        <f>VLOOKUP(Table1[[#This Row],[Point of Origin]],Table2[#All],3,0)</f>
        <v>International</v>
      </c>
      <c r="F1285" s="47" t="s">
        <v>96</v>
      </c>
      <c r="G1285" s="21" t="s">
        <v>97</v>
      </c>
      <c r="H1285" s="22">
        <f>385</f>
        <v>385</v>
      </c>
      <c r="I1285" s="22">
        <f>Table1[[#This Row],[Total Weight Imported (lbs)]]*0.453592</f>
        <v>174.63291999999998</v>
      </c>
      <c r="J1285" s="23">
        <f>671.47</f>
        <v>671.47</v>
      </c>
      <c r="K1285" s="1"/>
    </row>
    <row r="1286" spans="1:11" ht="15.75" customHeight="1">
      <c r="A1286" s="42" t="s">
        <v>275</v>
      </c>
      <c r="B1286" s="42" t="s">
        <v>14</v>
      </c>
      <c r="C1286" s="42" t="s">
        <v>14</v>
      </c>
      <c r="D1286" s="46" t="str">
        <f>VLOOKUP(Table1[[#This Row],[Point of Origin]],Table2[#All],2,0)</f>
        <v>USA</v>
      </c>
      <c r="E1286" s="46" t="str">
        <f>VLOOKUP(Table1[[#This Row],[Point of Origin]],Table2[#All],3,0)</f>
        <v>Domestic</v>
      </c>
      <c r="F1286" s="47" t="s">
        <v>139</v>
      </c>
      <c r="G1286" s="21" t="s">
        <v>140</v>
      </c>
      <c r="H1286" s="22">
        <f>(2*150)</f>
        <v>300</v>
      </c>
      <c r="I1286" s="22">
        <f>Table1[[#This Row],[Total Weight Imported (lbs)]]*0.453592</f>
        <v>136.07759999999999</v>
      </c>
      <c r="J1286" s="23">
        <f>774.67</f>
        <v>774.67</v>
      </c>
      <c r="K1286" s="41"/>
    </row>
    <row r="1287" spans="1:11" ht="15.75" customHeight="1">
      <c r="A1287" s="42" t="s">
        <v>275</v>
      </c>
      <c r="B1287" s="42" t="s">
        <v>14</v>
      </c>
      <c r="C1287" s="42" t="s">
        <v>14</v>
      </c>
      <c r="D1287" s="46" t="str">
        <f>VLOOKUP(Table1[[#This Row],[Point of Origin]],Table2[#All],2,0)</f>
        <v>USA</v>
      </c>
      <c r="E1287" s="46" t="str">
        <f>VLOOKUP(Table1[[#This Row],[Point of Origin]],Table2[#All],3,0)</f>
        <v>Domestic</v>
      </c>
      <c r="F1287" s="46" t="s">
        <v>61</v>
      </c>
      <c r="G1287" s="21" t="s">
        <v>62</v>
      </c>
      <c r="H1287" s="22">
        <f>66+66</f>
        <v>132</v>
      </c>
      <c r="I1287" s="22">
        <f>Table1[[#This Row],[Total Weight Imported (lbs)]]*0.453592</f>
        <v>59.874144000000001</v>
      </c>
      <c r="J1287" s="23">
        <f>244.3+232.17</f>
        <v>476.47</v>
      </c>
      <c r="K1287" s="41"/>
    </row>
    <row r="1288" spans="1:11" ht="15.75" customHeight="1">
      <c r="A1288" s="42" t="s">
        <v>275</v>
      </c>
      <c r="B1288" s="42" t="s">
        <v>14</v>
      </c>
      <c r="C1288" s="42" t="s">
        <v>14</v>
      </c>
      <c r="D1288" s="46" t="str">
        <f>VLOOKUP(Table1[[#This Row],[Point of Origin]],Table2[#All],2,0)</f>
        <v>USA</v>
      </c>
      <c r="E1288" s="46" t="str">
        <f>VLOOKUP(Table1[[#This Row],[Point of Origin]],Table2[#All],3,0)</f>
        <v>Domestic</v>
      </c>
      <c r="F1288" s="46" t="s">
        <v>143</v>
      </c>
      <c r="G1288" s="21" t="s">
        <v>144</v>
      </c>
      <c r="H1288" s="22">
        <f>80</f>
        <v>80</v>
      </c>
      <c r="I1288" s="22">
        <f>Table1[[#This Row],[Total Weight Imported (lbs)]]*0.453592</f>
        <v>36.28736</v>
      </c>
      <c r="J1288" s="23">
        <f>149.57</f>
        <v>149.57</v>
      </c>
      <c r="K1288" s="41"/>
    </row>
    <row r="1289" spans="1:11" ht="15.75" customHeight="1">
      <c r="A1289" s="42" t="s">
        <v>275</v>
      </c>
      <c r="B1289" s="42" t="s">
        <v>46</v>
      </c>
      <c r="C1289" s="42" t="s">
        <v>46</v>
      </c>
      <c r="D1289" s="46" t="str">
        <f>VLOOKUP(Table1[[#This Row],[Point of Origin]],Table2[#All],2,0)</f>
        <v>Mexico</v>
      </c>
      <c r="E1289" s="46" t="str">
        <f>VLOOKUP(Table1[[#This Row],[Point of Origin]],Table2[#All],3,0)</f>
        <v>International</v>
      </c>
      <c r="F1289" s="46" t="s">
        <v>83</v>
      </c>
      <c r="G1289" s="21" t="s">
        <v>32</v>
      </c>
      <c r="H1289" s="22">
        <f>24</f>
        <v>24</v>
      </c>
      <c r="I1289" s="22">
        <f>Table1[[#This Row],[Total Weight Imported (lbs)]]*0.453592</f>
        <v>10.886208</v>
      </c>
      <c r="J1289" s="23">
        <f>188.23</f>
        <v>188.23</v>
      </c>
      <c r="K1289" s="41"/>
    </row>
    <row r="1290" spans="1:11" ht="15.75" customHeight="1">
      <c r="A1290" s="48" t="s">
        <v>275</v>
      </c>
      <c r="B1290" s="46" t="s">
        <v>14</v>
      </c>
      <c r="C1290" s="46" t="s">
        <v>14</v>
      </c>
      <c r="D1290" s="46" t="str">
        <f>VLOOKUP(Table1[[#This Row],[Point of Origin]],Table2[#All],2,0)</f>
        <v>USA</v>
      </c>
      <c r="E1290" s="46" t="str">
        <f>VLOOKUP(Table1[[#This Row],[Point of Origin]],Table2[#All],3,0)</f>
        <v>Domestic</v>
      </c>
      <c r="F1290" s="47" t="s">
        <v>56</v>
      </c>
      <c r="G1290" s="21" t="s">
        <v>57</v>
      </c>
      <c r="H1290" s="22">
        <f>30</f>
        <v>30</v>
      </c>
      <c r="I1290" s="22">
        <f>Table1[[#This Row],[Total Weight Imported (lbs)]]*0.453592</f>
        <v>13.607759999999999</v>
      </c>
      <c r="J1290" s="23">
        <f>35.35</f>
        <v>35.35</v>
      </c>
      <c r="K1290" s="41"/>
    </row>
    <row r="1291" spans="1:11" ht="15.75" customHeight="1">
      <c r="A1291" s="42" t="s">
        <v>275</v>
      </c>
      <c r="B1291" s="45" t="s">
        <v>46</v>
      </c>
      <c r="C1291" s="45" t="s">
        <v>46</v>
      </c>
      <c r="D1291" s="45" t="str">
        <f>VLOOKUP(Table1[[#This Row],[Point of Origin]],Table2[#All],2,0)</f>
        <v>Mexico</v>
      </c>
      <c r="E1291" s="45" t="str">
        <f>VLOOKUP(Table1[[#This Row],[Point of Origin]],Table2[#All],3,0)</f>
        <v>International</v>
      </c>
      <c r="F1291" s="44" t="s">
        <v>96</v>
      </c>
      <c r="G1291" s="21" t="s">
        <v>97</v>
      </c>
      <c r="H1291" s="22">
        <f>24</f>
        <v>24</v>
      </c>
      <c r="I1291" s="22">
        <f>Table1[[#This Row],[Total Weight Imported (lbs)]]*0.453592</f>
        <v>10.886208</v>
      </c>
      <c r="J1291" s="23">
        <f>48.61</f>
        <v>48.61</v>
      </c>
      <c r="K1291" s="1"/>
    </row>
    <row r="1292" spans="1:11" ht="15.75" customHeight="1">
      <c r="A1292" s="42" t="s">
        <v>275</v>
      </c>
      <c r="B1292" s="42" t="s">
        <v>14</v>
      </c>
      <c r="C1292" s="42" t="s">
        <v>14</v>
      </c>
      <c r="D1292" s="46" t="str">
        <f>VLOOKUP(Table1[[#This Row],[Point of Origin]],Table2[#All],2,0)</f>
        <v>USA</v>
      </c>
      <c r="E1292" s="46" t="str">
        <f>VLOOKUP(Table1[[#This Row],[Point of Origin]],Table2[#All],3,0)</f>
        <v>Domestic</v>
      </c>
      <c r="F1292" s="47" t="s">
        <v>248</v>
      </c>
      <c r="G1292" s="21" t="s">
        <v>249</v>
      </c>
      <c r="H1292" s="22">
        <f>126</f>
        <v>126</v>
      </c>
      <c r="I1292" s="22">
        <f>Table1[[#This Row],[Total Weight Imported (lbs)]]*0.453592</f>
        <v>57.152591999999999</v>
      </c>
      <c r="J1292" s="23">
        <f>282.44</f>
        <v>282.44</v>
      </c>
      <c r="K1292" s="49"/>
    </row>
    <row r="1293" spans="1:11" ht="15.75" customHeight="1">
      <c r="A1293" s="28" t="s">
        <v>78</v>
      </c>
      <c r="B1293" s="28" t="s">
        <v>46</v>
      </c>
      <c r="C1293" s="28" t="s">
        <v>46</v>
      </c>
      <c r="D1293" s="28" t="str">
        <f>VLOOKUP(Table1[[#This Row],[Point of Origin]],Table2[#All],2,0)</f>
        <v>Mexico</v>
      </c>
      <c r="E1293" s="28" t="str">
        <f>VLOOKUP(Table1[[#This Row],[Point of Origin]],Table2[#All],3,0)</f>
        <v>International</v>
      </c>
      <c r="F1293" s="28" t="s">
        <v>67</v>
      </c>
      <c r="G1293" s="21" t="s">
        <v>68</v>
      </c>
      <c r="H1293" s="22">
        <f>125</f>
        <v>125</v>
      </c>
      <c r="I1293" s="22">
        <f>Table1[[#This Row],[Total Weight Imported (lbs)]]*0.453592</f>
        <v>56.698999999999998</v>
      </c>
      <c r="J1293" s="23">
        <f>282.5</f>
        <v>282.5</v>
      </c>
      <c r="K1293" s="41"/>
    </row>
    <row r="1294" spans="1:11" ht="15.75" customHeight="1">
      <c r="A1294" s="28" t="s">
        <v>78</v>
      </c>
      <c r="B1294" s="28" t="s">
        <v>276</v>
      </c>
      <c r="C1294" s="28" t="s">
        <v>14</v>
      </c>
      <c r="D1294" s="28" t="str">
        <f>VLOOKUP(Table1[[#This Row],[Point of Origin]],Table2[#All],2,0)</f>
        <v>USA</v>
      </c>
      <c r="E1294" s="28" t="str">
        <f>VLOOKUP(Table1[[#This Row],[Point of Origin]],Table2[#All],3,0)</f>
        <v>Domestic</v>
      </c>
      <c r="F1294" s="28" t="s">
        <v>40</v>
      </c>
      <c r="G1294" s="21" t="s">
        <v>41</v>
      </c>
      <c r="H1294" s="22">
        <f>150</f>
        <v>150</v>
      </c>
      <c r="I1294" s="22">
        <f>Table1[[#This Row],[Total Weight Imported (lbs)]]*0.453592</f>
        <v>68.038799999999995</v>
      </c>
      <c r="J1294" s="23">
        <f>152.5</f>
        <v>152.5</v>
      </c>
      <c r="K1294" s="50"/>
    </row>
    <row r="1295" spans="1:11" ht="15.75" customHeight="1">
      <c r="A1295" s="28" t="s">
        <v>78</v>
      </c>
      <c r="B1295" s="28" t="s">
        <v>277</v>
      </c>
      <c r="C1295" s="28" t="s">
        <v>14</v>
      </c>
      <c r="D1295" s="28" t="str">
        <f>VLOOKUP(Table1[[#This Row],[Point of Origin]],Table2[#All],2,0)</f>
        <v>USA</v>
      </c>
      <c r="E1295" s="28" t="str">
        <f>VLOOKUP(Table1[[#This Row],[Point of Origin]],Table2[#All],3,0)</f>
        <v>Domestic</v>
      </c>
      <c r="F1295" s="28" t="s">
        <v>79</v>
      </c>
      <c r="G1295" s="21" t="s">
        <v>80</v>
      </c>
      <c r="H1295" s="22">
        <f>100</f>
        <v>100</v>
      </c>
      <c r="I1295" s="22">
        <f>Table1[[#This Row],[Total Weight Imported (lbs)]]*0.453592</f>
        <v>45.359200000000001</v>
      </c>
      <c r="J1295" s="23">
        <f>96</f>
        <v>96</v>
      </c>
      <c r="K1295" s="51"/>
    </row>
    <row r="1296" spans="1:11" ht="15.75" customHeight="1">
      <c r="A1296" s="28" t="s">
        <v>78</v>
      </c>
      <c r="B1296" s="28" t="s">
        <v>46</v>
      </c>
      <c r="C1296" s="28" t="s">
        <v>46</v>
      </c>
      <c r="D1296" s="28" t="str">
        <f>VLOOKUP(Table1[[#This Row],[Point of Origin]],Table2[#All],2,0)</f>
        <v>Mexico</v>
      </c>
      <c r="E1296" s="28" t="str">
        <f>VLOOKUP(Table1[[#This Row],[Point of Origin]],Table2[#All],3,0)</f>
        <v>International</v>
      </c>
      <c r="F1296" s="28" t="s">
        <v>21</v>
      </c>
      <c r="G1296" s="21" t="s">
        <v>22</v>
      </c>
      <c r="H1296" s="22">
        <f>400</f>
        <v>400</v>
      </c>
      <c r="I1296" s="22">
        <f>Table1[[#This Row],[Total Weight Imported (lbs)]]*0.453592</f>
        <v>181.43680000000001</v>
      </c>
      <c r="J1296" s="23">
        <f>336</f>
        <v>336</v>
      </c>
      <c r="K1296" s="50"/>
    </row>
    <row r="1297" spans="1:12" ht="15.75" customHeight="1">
      <c r="A1297" s="28" t="s">
        <v>78</v>
      </c>
      <c r="B1297" s="28" t="s">
        <v>277</v>
      </c>
      <c r="C1297" s="28" t="s">
        <v>14</v>
      </c>
      <c r="D1297" s="28" t="str">
        <f>VLOOKUP(Table1[[#This Row],[Point of Origin]],Table2[#All],2,0)</f>
        <v>USA</v>
      </c>
      <c r="E1297" s="28" t="str">
        <f>VLOOKUP(Table1[[#This Row],[Point of Origin]],Table2[#All],3,0)</f>
        <v>Domestic</v>
      </c>
      <c r="F1297" s="36" t="s">
        <v>71</v>
      </c>
      <c r="G1297" s="21" t="s">
        <v>72</v>
      </c>
      <c r="H1297" s="22">
        <f>19+19+19</f>
        <v>57</v>
      </c>
      <c r="I1297" s="22">
        <f>Table1[[#This Row],[Total Weight Imported (lbs)]]*0.453592</f>
        <v>25.854744</v>
      </c>
      <c r="J1297" s="23">
        <f>850+340+36.5</f>
        <v>1226.5</v>
      </c>
      <c r="K1297" s="50"/>
    </row>
    <row r="1298" spans="1:12" ht="15.75" customHeight="1">
      <c r="A1298" s="28" t="s">
        <v>78</v>
      </c>
      <c r="B1298" s="28" t="s">
        <v>277</v>
      </c>
      <c r="C1298" s="28" t="s">
        <v>14</v>
      </c>
      <c r="D1298" s="28" t="str">
        <f>VLOOKUP(Table1[[#This Row],[Point of Origin]],Table2[#All],2,0)</f>
        <v>USA</v>
      </c>
      <c r="E1298" s="28" t="str">
        <f>VLOOKUP(Table1[[#This Row],[Point of Origin]],Table2[#All],3,0)</f>
        <v>Domestic</v>
      </c>
      <c r="F1298" s="28" t="s">
        <v>59</v>
      </c>
      <c r="G1298" s="21" t="s">
        <v>60</v>
      </c>
      <c r="H1298" s="22">
        <f>360+560</f>
        <v>920</v>
      </c>
      <c r="I1298" s="22">
        <f>Table1[[#This Row],[Total Weight Imported (lbs)]]*0.453592</f>
        <v>417.30464000000001</v>
      </c>
      <c r="J1298" s="23">
        <f>200+327.2</f>
        <v>527.20000000000005</v>
      </c>
      <c r="K1298" s="50"/>
    </row>
    <row r="1299" spans="1:12" ht="15.75" customHeight="1">
      <c r="A1299" s="28" t="s">
        <v>78</v>
      </c>
      <c r="B1299" s="28" t="s">
        <v>277</v>
      </c>
      <c r="C1299" s="28" t="s">
        <v>14</v>
      </c>
      <c r="D1299" s="28" t="str">
        <f>VLOOKUP(Table1[[#This Row],[Point of Origin]],Table2[#All],2,0)</f>
        <v>USA</v>
      </c>
      <c r="E1299" s="28" t="str">
        <f>VLOOKUP(Table1[[#This Row],[Point of Origin]],Table2[#All],3,0)</f>
        <v>Domestic</v>
      </c>
      <c r="F1299" s="28" t="s">
        <v>61</v>
      </c>
      <c r="G1299" s="21" t="s">
        <v>62</v>
      </c>
      <c r="H1299" s="22">
        <f>100+264</f>
        <v>364</v>
      </c>
      <c r="I1299" s="22">
        <f>Table1[[#This Row],[Total Weight Imported (lbs)]]*0.453592</f>
        <v>165.10748799999999</v>
      </c>
      <c r="J1299" s="23">
        <f>148+301.95</f>
        <v>449.95</v>
      </c>
      <c r="K1299" s="50"/>
    </row>
    <row r="1300" spans="1:12" ht="15.75" customHeight="1">
      <c r="A1300" s="28" t="s">
        <v>78</v>
      </c>
      <c r="B1300" s="28" t="s">
        <v>46</v>
      </c>
      <c r="C1300" s="28" t="s">
        <v>46</v>
      </c>
      <c r="D1300" s="28" t="str">
        <f>VLOOKUP(Table1[[#This Row],[Point of Origin]],Table2[#All],2,0)</f>
        <v>Mexico</v>
      </c>
      <c r="E1300" s="28" t="str">
        <f>VLOOKUP(Table1[[#This Row],[Point of Origin]],Table2[#All],3,0)</f>
        <v>International</v>
      </c>
      <c r="F1300" s="28" t="s">
        <v>54</v>
      </c>
      <c r="G1300" s="21" t="s">
        <v>30</v>
      </c>
      <c r="H1300" s="22">
        <f>25</f>
        <v>25</v>
      </c>
      <c r="I1300" s="22">
        <f>Table1[[#This Row],[Total Weight Imported (lbs)]]*0.453592</f>
        <v>11.3398</v>
      </c>
      <c r="J1300" s="23">
        <f>21.5</f>
        <v>21.5</v>
      </c>
      <c r="K1300" s="41"/>
    </row>
    <row r="1301" spans="1:12" ht="15.75" customHeight="1">
      <c r="A1301" s="28" t="s">
        <v>78</v>
      </c>
      <c r="B1301" s="28" t="s">
        <v>277</v>
      </c>
      <c r="C1301" s="28" t="s">
        <v>14</v>
      </c>
      <c r="D1301" s="28" t="str">
        <f>VLOOKUP(Table1[[#This Row],[Point of Origin]],Table2[#All],2,0)</f>
        <v>USA</v>
      </c>
      <c r="E1301" s="28" t="str">
        <f>VLOOKUP(Table1[[#This Row],[Point of Origin]],Table2[#All],3,0)</f>
        <v>Domestic</v>
      </c>
      <c r="F1301" s="36" t="s">
        <v>148</v>
      </c>
      <c r="G1301" s="21" t="s">
        <v>20</v>
      </c>
      <c r="H1301" s="22">
        <f>30</f>
        <v>30</v>
      </c>
      <c r="I1301" s="22">
        <f>Table1[[#This Row],[Total Weight Imported (lbs)]]*0.453592</f>
        <v>13.607759999999999</v>
      </c>
      <c r="J1301" s="23">
        <f>35.5</f>
        <v>35.5</v>
      </c>
      <c r="K1301" s="49"/>
    </row>
    <row r="1302" spans="1:12" ht="15.75" customHeight="1">
      <c r="A1302" s="28" t="s">
        <v>78</v>
      </c>
      <c r="B1302" s="28" t="s">
        <v>46</v>
      </c>
      <c r="C1302" s="28" t="s">
        <v>46</v>
      </c>
      <c r="D1302" s="28" t="str">
        <f>VLOOKUP(Table1[[#This Row],[Point of Origin]],Table2[#All],2,0)</f>
        <v>Mexico</v>
      </c>
      <c r="E1302" s="28" t="str">
        <f>VLOOKUP(Table1[[#This Row],[Point of Origin]],Table2[#All],3,0)</f>
        <v>International</v>
      </c>
      <c r="F1302" s="36" t="s">
        <v>58</v>
      </c>
      <c r="G1302" s="21" t="s">
        <v>34</v>
      </c>
      <c r="H1302" s="22">
        <f>44</f>
        <v>44</v>
      </c>
      <c r="I1302" s="22">
        <f>Table1[[#This Row],[Total Weight Imported (lbs)]]*0.453592</f>
        <v>19.958047999999998</v>
      </c>
      <c r="J1302" s="23">
        <f>96</f>
        <v>96</v>
      </c>
      <c r="K1302" s="49"/>
    </row>
    <row r="1303" spans="1:12" ht="15.75" customHeight="1">
      <c r="A1303" s="28" t="s">
        <v>78</v>
      </c>
      <c r="B1303" s="28" t="s">
        <v>46</v>
      </c>
      <c r="C1303" s="28" t="s">
        <v>46</v>
      </c>
      <c r="D1303" s="28" t="str">
        <f>VLOOKUP(Table1[[#This Row],[Point of Origin]],Table2[#All],2,0)</f>
        <v>Mexico</v>
      </c>
      <c r="E1303" s="28" t="str">
        <f>VLOOKUP(Table1[[#This Row],[Point of Origin]],Table2[#All],3,0)</f>
        <v>International</v>
      </c>
      <c r="F1303" s="36" t="s">
        <v>90</v>
      </c>
      <c r="G1303" s="21" t="s">
        <v>70</v>
      </c>
      <c r="H1303" s="22">
        <f>94.5</f>
        <v>94.5</v>
      </c>
      <c r="I1303" s="22">
        <f>Table1[[#This Row],[Total Weight Imported (lbs)]]*0.453592</f>
        <v>42.864443999999999</v>
      </c>
      <c r="J1303" s="23">
        <f>1050</f>
        <v>1050</v>
      </c>
      <c r="K1303" s="52"/>
      <c r="L1303" s="46"/>
    </row>
    <row r="1304" spans="1:12" ht="15.75" customHeight="1">
      <c r="A1304" s="28" t="s">
        <v>78</v>
      </c>
      <c r="B1304" s="28" t="s">
        <v>277</v>
      </c>
      <c r="C1304" s="28" t="s">
        <v>14</v>
      </c>
      <c r="D1304" s="28" t="str">
        <f>VLOOKUP(Table1[[#This Row],[Point of Origin]],Table2[#All],2,0)</f>
        <v>USA</v>
      </c>
      <c r="E1304" s="28" t="str">
        <f>VLOOKUP(Table1[[#This Row],[Point of Origin]],Table2[#All],3,0)</f>
        <v>Domestic</v>
      </c>
      <c r="F1304" s="28" t="s">
        <v>19</v>
      </c>
      <c r="G1304" s="21" t="s">
        <v>20</v>
      </c>
      <c r="H1304" s="22">
        <f>12</f>
        <v>12</v>
      </c>
      <c r="I1304" s="22">
        <f>Table1[[#This Row],[Total Weight Imported (lbs)]]*0.453592</f>
        <v>5.4431039999999999</v>
      </c>
      <c r="J1304" s="23">
        <f>31.5</f>
        <v>31.5</v>
      </c>
      <c r="K1304" s="50"/>
      <c r="L1304" s="3"/>
    </row>
    <row r="1305" spans="1:12" ht="15.75" customHeight="1">
      <c r="A1305" s="28" t="s">
        <v>78</v>
      </c>
      <c r="B1305" s="28" t="s">
        <v>277</v>
      </c>
      <c r="C1305" s="28" t="s">
        <v>14</v>
      </c>
      <c r="D1305" s="28" t="str">
        <f>VLOOKUP(Table1[[#This Row],[Point of Origin]],Table2[#All],2,0)</f>
        <v>USA</v>
      </c>
      <c r="E1305" s="28" t="str">
        <f>VLOOKUP(Table1[[#This Row],[Point of Origin]],Table2[#All],3,0)</f>
        <v>Domestic</v>
      </c>
      <c r="F1305" s="28" t="s">
        <v>83</v>
      </c>
      <c r="G1305" s="21" t="s">
        <v>32</v>
      </c>
      <c r="H1305" s="22">
        <f>25</f>
        <v>25</v>
      </c>
      <c r="I1305" s="22">
        <f>Table1[[#This Row],[Total Weight Imported (lbs)]]*0.453592</f>
        <v>11.3398</v>
      </c>
      <c r="J1305" s="23">
        <f>49</f>
        <v>49</v>
      </c>
      <c r="K1305" s="50"/>
      <c r="L1305" s="49"/>
    </row>
    <row r="1306" spans="1:12" ht="15.75" customHeight="1">
      <c r="A1306" s="28" t="s">
        <v>78</v>
      </c>
      <c r="B1306" s="28" t="s">
        <v>277</v>
      </c>
      <c r="C1306" s="28" t="s">
        <v>14</v>
      </c>
      <c r="D1306" s="28" t="str">
        <f>VLOOKUP(Table1[[#This Row],[Point of Origin]],Table2[#All],2,0)</f>
        <v>USA</v>
      </c>
      <c r="E1306" s="28" t="str">
        <f>VLOOKUP(Table1[[#This Row],[Point of Origin]],Table2[#All],3,0)</f>
        <v>Domestic</v>
      </c>
      <c r="F1306" s="28" t="s">
        <v>84</v>
      </c>
      <c r="G1306" s="21" t="s">
        <v>85</v>
      </c>
      <c r="H1306" s="22">
        <f>50</f>
        <v>50</v>
      </c>
      <c r="I1306" s="22">
        <f>Table1[[#This Row],[Total Weight Imported (lbs)]]*0.453592</f>
        <v>22.679600000000001</v>
      </c>
      <c r="J1306" s="23">
        <f>71</f>
        <v>71</v>
      </c>
      <c r="K1306" s="53"/>
      <c r="L1306" s="54"/>
    </row>
    <row r="1307" spans="1:12" ht="15.75" customHeight="1">
      <c r="A1307" s="28" t="s">
        <v>78</v>
      </c>
      <c r="B1307" s="28" t="s">
        <v>278</v>
      </c>
      <c r="C1307" s="28" t="s">
        <v>14</v>
      </c>
      <c r="D1307" s="28" t="str">
        <f>VLOOKUP(Table1[[#This Row],[Point of Origin]],Table2[#All],2,0)</f>
        <v>USA</v>
      </c>
      <c r="E1307" s="28" t="str">
        <f>VLOOKUP(Table1[[#This Row],[Point of Origin]],Table2[#All],3,0)</f>
        <v>Domestic</v>
      </c>
      <c r="F1307" s="28" t="s">
        <v>73</v>
      </c>
      <c r="G1307" s="21" t="s">
        <v>74</v>
      </c>
      <c r="H1307" s="22">
        <f>60</f>
        <v>60</v>
      </c>
      <c r="I1307" s="22">
        <f>Table1[[#This Row],[Total Weight Imported (lbs)]]*0.453592</f>
        <v>27.215519999999998</v>
      </c>
      <c r="J1307" s="23">
        <f>252</f>
        <v>252</v>
      </c>
      <c r="K1307" s="53"/>
      <c r="L1307" s="49"/>
    </row>
    <row r="1308" spans="1:12" ht="15.75" customHeight="1">
      <c r="A1308" s="28" t="s">
        <v>78</v>
      </c>
      <c r="B1308" s="28" t="s">
        <v>277</v>
      </c>
      <c r="C1308" s="28" t="s">
        <v>14</v>
      </c>
      <c r="D1308" s="28" t="str">
        <f>VLOOKUP(Table1[[#This Row],[Point of Origin]],Table2[#All],2,0)</f>
        <v>USA</v>
      </c>
      <c r="E1308" s="28" t="str">
        <f>VLOOKUP(Table1[[#This Row],[Point of Origin]],Table2[#All],3,0)</f>
        <v>Domestic</v>
      </c>
      <c r="F1308" s="28" t="s">
        <v>17</v>
      </c>
      <c r="G1308" s="21" t="s">
        <v>18</v>
      </c>
      <c r="H1308" s="22">
        <f>40</f>
        <v>40</v>
      </c>
      <c r="I1308" s="22">
        <f>Table1[[#This Row],[Total Weight Imported (lbs)]]*0.453592</f>
        <v>18.14368</v>
      </c>
      <c r="J1308" s="23">
        <f>40.3</f>
        <v>40.299999999999997</v>
      </c>
      <c r="K1308" s="50"/>
      <c r="L1308" s="49"/>
    </row>
    <row r="1309" spans="1:12" ht="15.75" customHeight="1">
      <c r="A1309" s="28" t="s">
        <v>78</v>
      </c>
      <c r="B1309" s="28" t="s">
        <v>277</v>
      </c>
      <c r="C1309" s="28" t="s">
        <v>14</v>
      </c>
      <c r="D1309" s="28" t="str">
        <f>VLOOKUP(Table1[[#This Row],[Point of Origin]],Table2[#All],2,0)</f>
        <v>USA</v>
      </c>
      <c r="E1309" s="28" t="str">
        <f>VLOOKUP(Table1[[#This Row],[Point of Origin]],Table2[#All],3,0)</f>
        <v>Domestic</v>
      </c>
      <c r="F1309" s="28" t="s">
        <v>17</v>
      </c>
      <c r="G1309" s="21" t="s">
        <v>18</v>
      </c>
      <c r="H1309" s="22">
        <f>28</f>
        <v>28</v>
      </c>
      <c r="I1309" s="22">
        <f>Table1[[#This Row],[Total Weight Imported (lbs)]]*0.453592</f>
        <v>12.700576</v>
      </c>
      <c r="J1309" s="23">
        <f>54.9</f>
        <v>54.9</v>
      </c>
      <c r="K1309" s="53"/>
      <c r="L1309" s="49"/>
    </row>
    <row r="1310" spans="1:12" ht="15.75" customHeight="1">
      <c r="A1310" s="28" t="s">
        <v>78</v>
      </c>
      <c r="B1310" s="28" t="s">
        <v>277</v>
      </c>
      <c r="C1310" s="28" t="s">
        <v>14</v>
      </c>
      <c r="D1310" s="28" t="str">
        <f>VLOOKUP(Table1[[#This Row],[Point of Origin]],Table2[#All],2,0)</f>
        <v>USA</v>
      </c>
      <c r="E1310" s="28" t="str">
        <f>VLOOKUP(Table1[[#This Row],[Point of Origin]],Table2[#All],3,0)</f>
        <v>Domestic</v>
      </c>
      <c r="F1310" s="36" t="s">
        <v>69</v>
      </c>
      <c r="G1310" s="21" t="s">
        <v>70</v>
      </c>
      <c r="H1310" s="22">
        <f>112.5</f>
        <v>112.5</v>
      </c>
      <c r="I1310" s="22">
        <f>Table1[[#This Row],[Total Weight Imported (lbs)]]*0.453592</f>
        <v>51.0291</v>
      </c>
      <c r="J1310" s="23">
        <f>1326.25</f>
        <v>1326.25</v>
      </c>
      <c r="K1310" s="50"/>
      <c r="L1310" s="49"/>
    </row>
    <row r="1311" spans="1:12" ht="15.75" customHeight="1">
      <c r="A1311" s="28" t="s">
        <v>78</v>
      </c>
      <c r="B1311" s="28" t="s">
        <v>277</v>
      </c>
      <c r="C1311" s="28" t="s">
        <v>14</v>
      </c>
      <c r="D1311" s="28" t="str">
        <f>VLOOKUP(Table1[[#This Row],[Point of Origin]],Table2[#All],2,0)</f>
        <v>USA</v>
      </c>
      <c r="E1311" s="28" t="str">
        <f>VLOOKUP(Table1[[#This Row],[Point of Origin]],Table2[#All],3,0)</f>
        <v>Domestic</v>
      </c>
      <c r="F1311" s="36" t="s">
        <v>56</v>
      </c>
      <c r="G1311" s="21" t="s">
        <v>57</v>
      </c>
      <c r="H1311" s="22">
        <f>110</f>
        <v>110</v>
      </c>
      <c r="I1311" s="22">
        <f>Table1[[#This Row],[Total Weight Imported (lbs)]]*0.453592</f>
        <v>49.895119999999999</v>
      </c>
      <c r="J1311" s="23">
        <f>50.9</f>
        <v>50.9</v>
      </c>
      <c r="K1311" s="50"/>
      <c r="L1311" s="49"/>
    </row>
    <row r="1312" spans="1:12" ht="15.75" customHeight="1">
      <c r="A1312" s="28" t="s">
        <v>78</v>
      </c>
      <c r="B1312" s="28" t="s">
        <v>277</v>
      </c>
      <c r="C1312" s="28" t="s">
        <v>14</v>
      </c>
      <c r="D1312" s="28" t="str">
        <f>VLOOKUP(Table1[[#This Row],[Point of Origin]],Table2[#All],2,0)</f>
        <v>USA</v>
      </c>
      <c r="E1312" s="28" t="str">
        <f>VLOOKUP(Table1[[#This Row],[Point of Origin]],Table2[#All],3,0)</f>
        <v>Domestic</v>
      </c>
      <c r="F1312" s="36" t="s">
        <v>87</v>
      </c>
      <c r="G1312" s="21" t="s">
        <v>20</v>
      </c>
      <c r="H1312" s="22">
        <f>20</f>
        <v>20</v>
      </c>
      <c r="I1312" s="22">
        <f>Table1[[#This Row],[Total Weight Imported (lbs)]]*0.453592</f>
        <v>9.0718399999999999</v>
      </c>
      <c r="J1312" s="23">
        <f>18.95</f>
        <v>18.95</v>
      </c>
      <c r="K1312" s="50"/>
      <c r="L1312" s="49"/>
    </row>
    <row r="1313" spans="1:11" ht="15.75" customHeight="1">
      <c r="A1313" s="28" t="s">
        <v>78</v>
      </c>
      <c r="B1313" s="28" t="s">
        <v>279</v>
      </c>
      <c r="C1313" s="28" t="s">
        <v>279</v>
      </c>
      <c r="D1313" s="28" t="str">
        <f>VLOOKUP(Table1[[#This Row],[Point of Origin]],Table2[#All],2,0)</f>
        <v>Canada</v>
      </c>
      <c r="E1313" s="28" t="str">
        <f>VLOOKUP(Table1[[#This Row],[Point of Origin]],Table2[#All],3,0)</f>
        <v>International</v>
      </c>
      <c r="F1313" s="28" t="s">
        <v>36</v>
      </c>
      <c r="G1313" s="21" t="s">
        <v>37</v>
      </c>
      <c r="H1313" s="22">
        <f>60</f>
        <v>60</v>
      </c>
      <c r="I1313" s="22">
        <f>Table1[[#This Row],[Total Weight Imported (lbs)]]*0.453592</f>
        <v>27.215519999999998</v>
      </c>
      <c r="J1313" s="23">
        <f>201.3</f>
        <v>201.3</v>
      </c>
      <c r="K1313" s="52"/>
    </row>
    <row r="1314" spans="1:11" ht="15.75" customHeight="1">
      <c r="A1314" s="28" t="s">
        <v>78</v>
      </c>
      <c r="B1314" s="28" t="s">
        <v>277</v>
      </c>
      <c r="C1314" s="28" t="s">
        <v>14</v>
      </c>
      <c r="D1314" s="28" t="str">
        <f>VLOOKUP(Table1[[#This Row],[Point of Origin]],Table2[#All],2,0)</f>
        <v>USA</v>
      </c>
      <c r="E1314" s="28" t="str">
        <f>VLOOKUP(Table1[[#This Row],[Point of Origin]],Table2[#All],3,0)</f>
        <v>Domestic</v>
      </c>
      <c r="F1314" s="28" t="s">
        <v>61</v>
      </c>
      <c r="G1314" s="21" t="s">
        <v>62</v>
      </c>
      <c r="H1314" s="22">
        <f>72</f>
        <v>72</v>
      </c>
      <c r="I1314" s="22">
        <f>Table1[[#This Row],[Total Weight Imported (lbs)]]*0.453592</f>
        <v>32.658624000000003</v>
      </c>
      <c r="J1314" s="23">
        <f>61</f>
        <v>61</v>
      </c>
      <c r="K1314" s="41"/>
    </row>
    <row r="1315" spans="1:11" ht="15.75" customHeight="1">
      <c r="A1315" s="28" t="s">
        <v>78</v>
      </c>
      <c r="B1315" s="28" t="s">
        <v>46</v>
      </c>
      <c r="C1315" s="28" t="s">
        <v>46</v>
      </c>
      <c r="D1315" s="28" t="str">
        <f>VLOOKUP(Table1[[#This Row],[Point of Origin]],Table2[#All],2,0)</f>
        <v>Mexico</v>
      </c>
      <c r="E1315" s="28" t="str">
        <f>VLOOKUP(Table1[[#This Row],[Point of Origin]],Table2[#All],3,0)</f>
        <v>International</v>
      </c>
      <c r="F1315" s="28" t="s">
        <v>63</v>
      </c>
      <c r="G1315" s="21" t="s">
        <v>64</v>
      </c>
      <c r="H1315" s="22">
        <f>66</f>
        <v>66</v>
      </c>
      <c r="I1315" s="22">
        <f>Table1[[#This Row],[Total Weight Imported (lbs)]]*0.453592</f>
        <v>29.937072000000001</v>
      </c>
      <c r="J1315" s="23">
        <f>49.5</f>
        <v>49.5</v>
      </c>
      <c r="K1315" s="1"/>
    </row>
    <row r="1316" spans="1:11" ht="15.75" customHeight="1">
      <c r="A1316" s="28" t="s">
        <v>78</v>
      </c>
      <c r="B1316" s="28" t="s">
        <v>277</v>
      </c>
      <c r="C1316" s="28" t="s">
        <v>14</v>
      </c>
      <c r="D1316" s="28" t="str">
        <f>VLOOKUP(Table1[[#This Row],[Point of Origin]],Table2[#All],2,0)</f>
        <v>USA</v>
      </c>
      <c r="E1316" s="28" t="str">
        <f>VLOOKUP(Table1[[#This Row],[Point of Origin]],Table2[#All],3,0)</f>
        <v>Domestic</v>
      </c>
      <c r="F1316" s="28" t="s">
        <v>65</v>
      </c>
      <c r="G1316" s="21" t="s">
        <v>66</v>
      </c>
      <c r="H1316" s="22">
        <f>224</f>
        <v>224</v>
      </c>
      <c r="I1316" s="22">
        <f>Table1[[#This Row],[Total Weight Imported (lbs)]]*0.453592</f>
        <v>101.604608</v>
      </c>
      <c r="J1316" s="23">
        <f>751.8</f>
        <v>751.8</v>
      </c>
      <c r="K1316" s="41"/>
    </row>
    <row r="1317" spans="1:11" ht="15.75" customHeight="1">
      <c r="A1317" s="28" t="s">
        <v>78</v>
      </c>
      <c r="B1317" s="28" t="s">
        <v>46</v>
      </c>
      <c r="C1317" s="28" t="s">
        <v>46</v>
      </c>
      <c r="D1317" s="28" t="str">
        <f>VLOOKUP(Table1[[#This Row],[Point of Origin]],Table2[#All],2,0)</f>
        <v>Mexico</v>
      </c>
      <c r="E1317" s="28" t="str">
        <f>VLOOKUP(Table1[[#This Row],[Point of Origin]],Table2[#All],3,0)</f>
        <v>International</v>
      </c>
      <c r="F1317" s="28" t="s">
        <v>38</v>
      </c>
      <c r="G1317" s="21" t="s">
        <v>39</v>
      </c>
      <c r="H1317" s="22">
        <f>36+33+308</f>
        <v>377</v>
      </c>
      <c r="I1317" s="22">
        <f>Table1[[#This Row],[Total Weight Imported (lbs)]]*0.453592</f>
        <v>171.00418400000001</v>
      </c>
      <c r="J1317" s="23">
        <f>71.4+86.1+350</f>
        <v>507.5</v>
      </c>
      <c r="K1317" s="41"/>
    </row>
    <row r="1318" spans="1:11" ht="15.75" customHeight="1">
      <c r="A1318" s="20" t="s">
        <v>55</v>
      </c>
      <c r="B1318" s="20" t="s">
        <v>277</v>
      </c>
      <c r="C1318" s="20" t="s">
        <v>14</v>
      </c>
      <c r="D1318" s="20" t="str">
        <f>VLOOKUP(Table1[[#This Row],[Point of Origin]],Table2[#All],2,0)</f>
        <v>USA</v>
      </c>
      <c r="E1318" s="20" t="str">
        <f>VLOOKUP(Table1[[#This Row],[Point of Origin]],Table2[#All],3,0)</f>
        <v>Domestic</v>
      </c>
      <c r="F1318" s="42" t="s">
        <v>17</v>
      </c>
      <c r="G1318" s="21" t="s">
        <v>18</v>
      </c>
      <c r="H1318" s="22">
        <f>40</f>
        <v>40</v>
      </c>
      <c r="I1318" s="68">
        <f>Table1[[#This Row],[Total Weight Imported (lbs)]]*0.453592</f>
        <v>18.14368</v>
      </c>
      <c r="J1318" s="55">
        <f>40.3</f>
        <v>40.299999999999997</v>
      </c>
      <c r="K1318" s="41"/>
    </row>
    <row r="1319" spans="1:11" ht="15.75" customHeight="1">
      <c r="A1319" s="20" t="s">
        <v>55</v>
      </c>
      <c r="B1319" s="20" t="s">
        <v>277</v>
      </c>
      <c r="C1319" s="20" t="s">
        <v>14</v>
      </c>
      <c r="D1319" s="20" t="str">
        <f>VLOOKUP(Table1[[#This Row],[Point of Origin]],Table2[#All],2,0)</f>
        <v>USA</v>
      </c>
      <c r="E1319" s="20" t="str">
        <f>VLOOKUP(Table1[[#This Row],[Point of Origin]],Table2[#All],3,0)</f>
        <v>Domestic</v>
      </c>
      <c r="F1319" s="42" t="s">
        <v>79</v>
      </c>
      <c r="G1319" s="21" t="s">
        <v>80</v>
      </c>
      <c r="H1319" s="22">
        <f>350</f>
        <v>350</v>
      </c>
      <c r="I1319" s="68">
        <f>Table1[[#This Row],[Total Weight Imported (lbs)]]*0.453592</f>
        <v>158.75720000000001</v>
      </c>
      <c r="J1319" s="55">
        <f>390.6</f>
        <v>390.6</v>
      </c>
      <c r="K1319" s="1"/>
    </row>
    <row r="1320" spans="1:11" ht="15.75" customHeight="1">
      <c r="A1320" s="20" t="s">
        <v>55</v>
      </c>
      <c r="B1320" s="20" t="s">
        <v>277</v>
      </c>
      <c r="C1320" s="20" t="s">
        <v>14</v>
      </c>
      <c r="D1320" s="20" t="str">
        <f>VLOOKUP(Table1[[#This Row],[Point of Origin]],Table2[#All],2,0)</f>
        <v>USA</v>
      </c>
      <c r="E1320" s="20" t="str">
        <f>VLOOKUP(Table1[[#This Row],[Point of Origin]],Table2[#All],3,0)</f>
        <v>Domestic</v>
      </c>
      <c r="F1320" s="56" t="s">
        <v>56</v>
      </c>
      <c r="G1320" s="21" t="s">
        <v>57</v>
      </c>
      <c r="H1320" s="22">
        <f>330</f>
        <v>330</v>
      </c>
      <c r="I1320" s="68">
        <f>Table1[[#This Row],[Total Weight Imported (lbs)]]*0.453592</f>
        <v>149.68536</v>
      </c>
      <c r="J1320" s="55">
        <f>149.1</f>
        <v>149.1</v>
      </c>
      <c r="K1320" s="41"/>
    </row>
    <row r="1321" spans="1:11" ht="15.75" customHeight="1">
      <c r="A1321" s="20" t="s">
        <v>55</v>
      </c>
      <c r="B1321" s="20" t="s">
        <v>277</v>
      </c>
      <c r="C1321" s="20" t="s">
        <v>14</v>
      </c>
      <c r="D1321" s="20" t="str">
        <f>VLOOKUP(Table1[[#This Row],[Point of Origin]],Table2[#All],2,0)</f>
        <v>USA</v>
      </c>
      <c r="E1321" s="20" t="str">
        <f>VLOOKUP(Table1[[#This Row],[Point of Origin]],Table2[#All],3,0)</f>
        <v>Domestic</v>
      </c>
      <c r="F1321" s="56" t="s">
        <v>58</v>
      </c>
      <c r="G1321" s="21" t="s">
        <v>34</v>
      </c>
      <c r="H1321" s="22">
        <f>18</f>
        <v>18</v>
      </c>
      <c r="I1321" s="68">
        <f>Table1[[#This Row],[Total Weight Imported (lbs)]]*0.453592</f>
        <v>8.1646560000000008</v>
      </c>
      <c r="J1321" s="55">
        <f>28.05</f>
        <v>28.05</v>
      </c>
      <c r="K1321" s="1"/>
    </row>
    <row r="1322" spans="1:11" ht="15.75" customHeight="1">
      <c r="A1322" s="20" t="s">
        <v>55</v>
      </c>
      <c r="B1322" s="20" t="s">
        <v>277</v>
      </c>
      <c r="C1322" s="20" t="s">
        <v>14</v>
      </c>
      <c r="D1322" s="20" t="str">
        <f>VLOOKUP(Table1[[#This Row],[Point of Origin]],Table2[#All],2,0)</f>
        <v>USA</v>
      </c>
      <c r="E1322" s="20" t="str">
        <f>VLOOKUP(Table1[[#This Row],[Point of Origin]],Table2[#All],3,0)</f>
        <v>Domestic</v>
      </c>
      <c r="F1322" s="42" t="s">
        <v>59</v>
      </c>
      <c r="G1322" s="21" t="s">
        <v>60</v>
      </c>
      <c r="H1322" s="22">
        <f>770+405</f>
        <v>1175</v>
      </c>
      <c r="I1322" s="68">
        <f>Table1[[#This Row],[Total Weight Imported (lbs)]]*0.453592</f>
        <v>532.97059999999999</v>
      </c>
      <c r="J1322" s="55">
        <f>548.9+234</f>
        <v>782.9</v>
      </c>
      <c r="K1322" s="41"/>
    </row>
    <row r="1323" spans="1:11" ht="15.75" customHeight="1">
      <c r="A1323" s="20" t="s">
        <v>55</v>
      </c>
      <c r="B1323" s="20" t="s">
        <v>277</v>
      </c>
      <c r="C1323" s="20" t="s">
        <v>14</v>
      </c>
      <c r="D1323" s="20" t="str">
        <f>VLOOKUP(Table1[[#This Row],[Point of Origin]],Table2[#All],2,0)</f>
        <v>USA</v>
      </c>
      <c r="E1323" s="20" t="str">
        <f>VLOOKUP(Table1[[#This Row],[Point of Origin]],Table2[#All],3,0)</f>
        <v>Domestic</v>
      </c>
      <c r="F1323" s="56" t="s">
        <v>87</v>
      </c>
      <c r="G1323" s="21" t="s">
        <v>20</v>
      </c>
      <c r="H1323" s="22">
        <f>40</f>
        <v>40</v>
      </c>
      <c r="I1323" s="68">
        <f>Table1[[#This Row],[Total Weight Imported (lbs)]]*0.453592</f>
        <v>18.14368</v>
      </c>
      <c r="J1323" s="55">
        <f>37.9</f>
        <v>37.9</v>
      </c>
      <c r="K1323" s="57"/>
    </row>
    <row r="1324" spans="1:11" ht="15.75" customHeight="1">
      <c r="A1324" s="20" t="s">
        <v>55</v>
      </c>
      <c r="B1324" s="20" t="s">
        <v>46</v>
      </c>
      <c r="C1324" s="20" t="s">
        <v>46</v>
      </c>
      <c r="D1324" s="20" t="str">
        <f>VLOOKUP(Table1[[#This Row],[Point of Origin]],Table2[#All],2,0)</f>
        <v>Mexico</v>
      </c>
      <c r="E1324" s="20" t="str">
        <f>VLOOKUP(Table1[[#This Row],[Point of Origin]],Table2[#All],3,0)</f>
        <v>International</v>
      </c>
      <c r="F1324" s="42" t="s">
        <v>48</v>
      </c>
      <c r="G1324" s="21" t="s">
        <v>49</v>
      </c>
      <c r="H1324" s="22">
        <f>320</f>
        <v>320</v>
      </c>
      <c r="I1324" s="68">
        <f>Table1[[#This Row],[Total Weight Imported (lbs)]]*0.453592</f>
        <v>145.14944</v>
      </c>
      <c r="J1324" s="55">
        <f>392</f>
        <v>392</v>
      </c>
      <c r="K1324" s="41"/>
    </row>
    <row r="1325" spans="1:11" ht="15.75" customHeight="1">
      <c r="A1325" s="20" t="s">
        <v>55</v>
      </c>
      <c r="B1325" s="20" t="s">
        <v>46</v>
      </c>
      <c r="C1325" s="20" t="s">
        <v>46</v>
      </c>
      <c r="D1325" s="20" t="str">
        <f>VLOOKUP(Table1[[#This Row],[Point of Origin]],Table2[#All],2,0)</f>
        <v>Mexico</v>
      </c>
      <c r="E1325" s="20" t="str">
        <f>VLOOKUP(Table1[[#This Row],[Point of Origin]],Table2[#All],3,0)</f>
        <v>International</v>
      </c>
      <c r="F1325" s="56" t="s">
        <v>58</v>
      </c>
      <c r="G1325" s="21" t="s">
        <v>34</v>
      </c>
      <c r="H1325" s="22">
        <f>72</f>
        <v>72</v>
      </c>
      <c r="I1325" s="68">
        <f>Table1[[#This Row],[Total Weight Imported (lbs)]]*0.453592</f>
        <v>32.658624000000003</v>
      </c>
      <c r="J1325" s="55">
        <f>127</f>
        <v>127</v>
      </c>
      <c r="K1325" s="1"/>
    </row>
    <row r="1326" spans="1:11" ht="15.75" customHeight="1">
      <c r="A1326" s="20" t="s">
        <v>55</v>
      </c>
      <c r="B1326" s="20" t="s">
        <v>277</v>
      </c>
      <c r="C1326" s="20" t="s">
        <v>14</v>
      </c>
      <c r="D1326" s="20" t="str">
        <f>VLOOKUP(Table1[[#This Row],[Point of Origin]],Table2[#All],2,0)</f>
        <v>USA</v>
      </c>
      <c r="E1326" s="20" t="str">
        <f>VLOOKUP(Table1[[#This Row],[Point of Origin]],Table2[#All],3,0)</f>
        <v>Domestic</v>
      </c>
      <c r="F1326" s="42" t="s">
        <v>61</v>
      </c>
      <c r="G1326" s="21" t="s">
        <v>62</v>
      </c>
      <c r="H1326" s="22">
        <f>432+175+50</f>
        <v>657</v>
      </c>
      <c r="I1326" s="68">
        <f>Table1[[#This Row],[Total Weight Imported (lbs)]]*0.453592</f>
        <v>298.00994400000002</v>
      </c>
      <c r="J1326" s="55">
        <f>483.3+301+83</f>
        <v>867.3</v>
      </c>
      <c r="K1326" s="41"/>
    </row>
    <row r="1327" spans="1:11" ht="15.75" customHeight="1">
      <c r="A1327" s="20" t="s">
        <v>55</v>
      </c>
      <c r="B1327" s="20" t="s">
        <v>277</v>
      </c>
      <c r="C1327" s="20" t="s">
        <v>14</v>
      </c>
      <c r="D1327" s="20" t="str">
        <f>VLOOKUP(Table1[[#This Row],[Point of Origin]],Table2[#All],2,0)</f>
        <v>USA</v>
      </c>
      <c r="E1327" s="20" t="str">
        <f>VLOOKUP(Table1[[#This Row],[Point of Origin]],Table2[#All],3,0)</f>
        <v>Domestic</v>
      </c>
      <c r="F1327" s="42" t="s">
        <v>63</v>
      </c>
      <c r="G1327" s="21" t="s">
        <v>64</v>
      </c>
      <c r="H1327" s="22">
        <f>88</f>
        <v>88</v>
      </c>
      <c r="I1327" s="68">
        <f>Table1[[#This Row],[Total Weight Imported (lbs)]]*0.453592</f>
        <v>39.916095999999996</v>
      </c>
      <c r="J1327" s="55">
        <f>66</f>
        <v>66</v>
      </c>
      <c r="K1327" s="1"/>
    </row>
    <row r="1328" spans="1:11" ht="15.75" customHeight="1">
      <c r="A1328" s="20" t="s">
        <v>55</v>
      </c>
      <c r="B1328" s="20" t="s">
        <v>277</v>
      </c>
      <c r="C1328" s="20" t="s">
        <v>14</v>
      </c>
      <c r="D1328" s="20" t="str">
        <f>VLOOKUP(Table1[[#This Row],[Point of Origin]],Table2[#All],2,0)</f>
        <v>USA</v>
      </c>
      <c r="E1328" s="20" t="str">
        <f>VLOOKUP(Table1[[#This Row],[Point of Origin]],Table2[#All],3,0)</f>
        <v>Domestic</v>
      </c>
      <c r="F1328" s="42" t="s">
        <v>65</v>
      </c>
      <c r="G1328" s="21" t="s">
        <v>66</v>
      </c>
      <c r="H1328" s="22">
        <f>264</f>
        <v>264</v>
      </c>
      <c r="I1328" s="68">
        <f>Table1[[#This Row],[Total Weight Imported (lbs)]]*0.453592</f>
        <v>119.748288</v>
      </c>
      <c r="J1328" s="55">
        <f>846.45</f>
        <v>846.45</v>
      </c>
      <c r="K1328" s="41"/>
    </row>
    <row r="1329" spans="1:11" ht="15.75" customHeight="1">
      <c r="A1329" s="20" t="s">
        <v>55</v>
      </c>
      <c r="B1329" s="20" t="s">
        <v>46</v>
      </c>
      <c r="C1329" s="20" t="s">
        <v>46</v>
      </c>
      <c r="D1329" s="20" t="str">
        <f>VLOOKUP(Table1[[#This Row],[Point of Origin]],Table2[#All],2,0)</f>
        <v>Mexico</v>
      </c>
      <c r="E1329" s="20" t="str">
        <f>VLOOKUP(Table1[[#This Row],[Point of Origin]],Table2[#All],3,0)</f>
        <v>International</v>
      </c>
      <c r="F1329" s="42" t="s">
        <v>38</v>
      </c>
      <c r="G1329" s="21" t="s">
        <v>39</v>
      </c>
      <c r="H1329" s="22">
        <f>156+594</f>
        <v>750</v>
      </c>
      <c r="I1329" s="68">
        <f>Table1[[#This Row],[Total Weight Imported (lbs)]]*0.453592</f>
        <v>340.19400000000002</v>
      </c>
      <c r="J1329" s="55">
        <f>301.6+757.35</f>
        <v>1058.95</v>
      </c>
      <c r="K1329" s="41"/>
    </row>
    <row r="1330" spans="1:11" ht="15.75" customHeight="1">
      <c r="A1330" s="20" t="s">
        <v>55</v>
      </c>
      <c r="B1330" s="20" t="s">
        <v>46</v>
      </c>
      <c r="C1330" s="20" t="s">
        <v>46</v>
      </c>
      <c r="D1330" s="20" t="str">
        <f>VLOOKUP(Table1[[#This Row],[Point of Origin]],Table2[#All],2,0)</f>
        <v>Mexico</v>
      </c>
      <c r="E1330" s="20" t="str">
        <f>VLOOKUP(Table1[[#This Row],[Point of Origin]],Table2[#All],3,0)</f>
        <v>International</v>
      </c>
      <c r="F1330" s="42" t="s">
        <v>67</v>
      </c>
      <c r="G1330" s="21" t="s">
        <v>68</v>
      </c>
      <c r="H1330" s="22">
        <f>250</f>
        <v>250</v>
      </c>
      <c r="I1330" s="68">
        <f>Table1[[#This Row],[Total Weight Imported (lbs)]]*0.453592</f>
        <v>113.398</v>
      </c>
      <c r="J1330" s="55">
        <f>535</f>
        <v>535</v>
      </c>
      <c r="K1330" s="41"/>
    </row>
    <row r="1331" spans="1:11" ht="15.75" customHeight="1">
      <c r="A1331" s="20" t="s">
        <v>55</v>
      </c>
      <c r="B1331" s="20" t="s">
        <v>277</v>
      </c>
      <c r="C1331" s="20" t="s">
        <v>14</v>
      </c>
      <c r="D1331" s="20" t="str">
        <f>VLOOKUP(Table1[[#This Row],[Point of Origin]],Table2[#All],2,0)</f>
        <v>USA</v>
      </c>
      <c r="E1331" s="20" t="str">
        <f>VLOOKUP(Table1[[#This Row],[Point of Origin]],Table2[#All],3,0)</f>
        <v>Domestic</v>
      </c>
      <c r="F1331" s="56" t="s">
        <v>69</v>
      </c>
      <c r="G1331" s="21" t="s">
        <v>70</v>
      </c>
      <c r="H1331" s="22">
        <f>94.5</f>
        <v>94.5</v>
      </c>
      <c r="I1331" s="68">
        <f>Table1[[#This Row],[Total Weight Imported (lbs)]]*0.453592</f>
        <v>42.864443999999999</v>
      </c>
      <c r="J1331" s="55">
        <f>766.5</f>
        <v>766.5</v>
      </c>
      <c r="K1331" s="41"/>
    </row>
    <row r="1332" spans="1:11" ht="15.75" customHeight="1">
      <c r="A1332" s="20" t="s">
        <v>55</v>
      </c>
      <c r="B1332" s="20" t="s">
        <v>277</v>
      </c>
      <c r="C1332" s="20" t="s">
        <v>14</v>
      </c>
      <c r="D1332" s="20" t="str">
        <f>VLOOKUP(Table1[[#This Row],[Point of Origin]],Table2[#All],2,0)</f>
        <v>USA</v>
      </c>
      <c r="E1332" s="20" t="str">
        <f>VLOOKUP(Table1[[#This Row],[Point of Origin]],Table2[#All],3,0)</f>
        <v>Domestic</v>
      </c>
      <c r="F1332" s="56" t="s">
        <v>148</v>
      </c>
      <c r="G1332" s="21" t="s">
        <v>20</v>
      </c>
      <c r="H1332" s="22">
        <f>120</f>
        <v>120</v>
      </c>
      <c r="I1332" s="68">
        <f>Table1[[#This Row],[Total Weight Imported (lbs)]]*0.453592</f>
        <v>54.431039999999996</v>
      </c>
      <c r="J1332" s="55">
        <f>160</f>
        <v>160</v>
      </c>
      <c r="K1332" s="1"/>
    </row>
    <row r="1333" spans="1:11" ht="15.75" customHeight="1">
      <c r="A1333" s="20" t="s">
        <v>55</v>
      </c>
      <c r="B1333" s="20" t="s">
        <v>277</v>
      </c>
      <c r="C1333" s="20" t="s">
        <v>14</v>
      </c>
      <c r="D1333" s="20" t="str">
        <f>VLOOKUP(Table1[[#This Row],[Point of Origin]],Table2[#All],2,0)</f>
        <v>USA</v>
      </c>
      <c r="E1333" s="20" t="str">
        <f>VLOOKUP(Table1[[#This Row],[Point of Origin]],Table2[#All],3,0)</f>
        <v>Domestic</v>
      </c>
      <c r="F1333" s="56" t="s">
        <v>71</v>
      </c>
      <c r="G1333" s="21" t="s">
        <v>72</v>
      </c>
      <c r="H1333" s="22">
        <f>19+608+228</f>
        <v>855</v>
      </c>
      <c r="I1333" s="68">
        <f>Table1[[#This Row],[Total Weight Imported (lbs)]]*0.453592</f>
        <v>387.82116000000002</v>
      </c>
      <c r="J1333" s="55">
        <f>30.75+1136+426</f>
        <v>1592.75</v>
      </c>
      <c r="K1333" s="41"/>
    </row>
    <row r="1334" spans="1:11" ht="15.75" customHeight="1">
      <c r="A1334" s="20" t="s">
        <v>55</v>
      </c>
      <c r="B1334" s="20" t="s">
        <v>279</v>
      </c>
      <c r="C1334" s="20" t="s">
        <v>279</v>
      </c>
      <c r="D1334" s="20" t="str">
        <f>VLOOKUP(Table1[[#This Row],[Point of Origin]],Table2[#All],2,0)</f>
        <v>Canada</v>
      </c>
      <c r="E1334" s="20" t="str">
        <f>VLOOKUP(Table1[[#This Row],[Point of Origin]],Table2[#All],3,0)</f>
        <v>International</v>
      </c>
      <c r="F1334" s="42" t="s">
        <v>36</v>
      </c>
      <c r="G1334" s="21" t="s">
        <v>37</v>
      </c>
      <c r="H1334" s="22">
        <f>60</f>
        <v>60</v>
      </c>
      <c r="I1334" s="68">
        <f>Table1[[#This Row],[Total Weight Imported (lbs)]]*0.453592</f>
        <v>27.215519999999998</v>
      </c>
      <c r="J1334" s="55">
        <f>192</f>
        <v>192</v>
      </c>
      <c r="K1334" s="1"/>
    </row>
    <row r="1335" spans="1:11" ht="15.75" customHeight="1">
      <c r="A1335" s="20" t="s">
        <v>55</v>
      </c>
      <c r="B1335" s="20" t="s">
        <v>278</v>
      </c>
      <c r="C1335" s="20" t="s">
        <v>14</v>
      </c>
      <c r="D1335" s="20" t="str">
        <f>VLOOKUP(Table1[[#This Row],[Point of Origin]],Table2[#All],2,0)</f>
        <v>USA</v>
      </c>
      <c r="E1335" s="20" t="str">
        <f>VLOOKUP(Table1[[#This Row],[Point of Origin]],Table2[#All],3,0)</f>
        <v>Domestic</v>
      </c>
      <c r="F1335" s="42" t="s">
        <v>73</v>
      </c>
      <c r="G1335" s="21" t="s">
        <v>74</v>
      </c>
      <c r="H1335" s="22">
        <f>40</f>
        <v>40</v>
      </c>
      <c r="I1335" s="68">
        <f>Table1[[#This Row],[Total Weight Imported (lbs)]]*0.453592</f>
        <v>18.14368</v>
      </c>
      <c r="J1335" s="55">
        <f>160</f>
        <v>160</v>
      </c>
      <c r="K1335" s="1"/>
    </row>
    <row r="1336" spans="1:11" ht="15.75" customHeight="1">
      <c r="A1336" s="20" t="s">
        <v>55</v>
      </c>
      <c r="B1336" s="20" t="s">
        <v>277</v>
      </c>
      <c r="C1336" s="20" t="s">
        <v>14</v>
      </c>
      <c r="D1336" s="20" t="str">
        <f>VLOOKUP(Table1[[#This Row],[Point of Origin]],Table2[#All],2,0)</f>
        <v>USA</v>
      </c>
      <c r="E1336" s="20" t="str">
        <f>VLOOKUP(Table1[[#This Row],[Point of Origin]],Table2[#All],3,0)</f>
        <v>Domestic</v>
      </c>
      <c r="F1336" s="56" t="s">
        <v>75</v>
      </c>
      <c r="G1336" s="21" t="s">
        <v>70</v>
      </c>
      <c r="H1336" s="22">
        <f>22.5</f>
        <v>22.5</v>
      </c>
      <c r="I1336" s="68">
        <f>Table1[[#This Row],[Total Weight Imported (lbs)]]*0.453592</f>
        <v>10.205819999999999</v>
      </c>
      <c r="J1336" s="55">
        <v>200</v>
      </c>
      <c r="K1336" s="1"/>
    </row>
    <row r="1337" spans="1:11" ht="15.75" customHeight="1">
      <c r="A1337" s="20" t="s">
        <v>55</v>
      </c>
      <c r="B1337" s="20" t="s">
        <v>277</v>
      </c>
      <c r="C1337" s="20" t="s">
        <v>14</v>
      </c>
      <c r="D1337" s="20" t="str">
        <f>VLOOKUP(Table1[[#This Row],[Point of Origin]],Table2[#All],2,0)</f>
        <v>USA</v>
      </c>
      <c r="E1337" s="20" t="str">
        <f>VLOOKUP(Table1[[#This Row],[Point of Origin]],Table2[#All],3,0)</f>
        <v>Domestic</v>
      </c>
      <c r="F1337" s="42" t="s">
        <v>40</v>
      </c>
      <c r="G1337" s="21" t="s">
        <v>41</v>
      </c>
      <c r="H1337" s="22">
        <f t="shared" ref="H1337:J1337" si="1">240</f>
        <v>240</v>
      </c>
      <c r="I1337" s="68">
        <f>Table1[[#This Row],[Total Weight Imported (lbs)]]*0.453592</f>
        <v>108.86207999999999</v>
      </c>
      <c r="J1337" s="55">
        <f t="shared" si="1"/>
        <v>240</v>
      </c>
      <c r="K1337" s="41"/>
    </row>
    <row r="1338" spans="1:11" ht="15.75" customHeight="1">
      <c r="A1338" s="20" t="s">
        <v>55</v>
      </c>
      <c r="B1338" s="20" t="s">
        <v>46</v>
      </c>
      <c r="C1338" s="20" t="s">
        <v>46</v>
      </c>
      <c r="D1338" s="20" t="str">
        <f>VLOOKUP(Table1[[#This Row],[Point of Origin]],Table2[#All],2,0)</f>
        <v>Mexico</v>
      </c>
      <c r="E1338" s="20" t="str">
        <f>VLOOKUP(Table1[[#This Row],[Point of Origin]],Table2[#All],3,0)</f>
        <v>International</v>
      </c>
      <c r="F1338" s="42" t="s">
        <v>54</v>
      </c>
      <c r="G1338" s="21" t="s">
        <v>30</v>
      </c>
      <c r="H1338" s="22">
        <f>25</f>
        <v>25</v>
      </c>
      <c r="I1338" s="68">
        <f>Table1[[#This Row],[Total Weight Imported (lbs)]]*0.453592</f>
        <v>11.3398</v>
      </c>
      <c r="J1338" s="55">
        <f>21</f>
        <v>21</v>
      </c>
      <c r="K1338" s="41"/>
    </row>
    <row r="1339" spans="1:11" ht="15.75" customHeight="1">
      <c r="A1339" s="28" t="s">
        <v>45</v>
      </c>
      <c r="B1339" s="28" t="s">
        <v>14</v>
      </c>
      <c r="C1339" s="28" t="s">
        <v>14</v>
      </c>
      <c r="D1339" s="28" t="str">
        <f>VLOOKUP(Table1[[#This Row],[Point of Origin]],Table2[#All],2,0)</f>
        <v>USA</v>
      </c>
      <c r="E1339" s="28" t="str">
        <f>VLOOKUP(Table1[[#This Row],[Point of Origin]],Table2[#All],3,0)</f>
        <v>Domestic</v>
      </c>
      <c r="F1339" s="28" t="s">
        <v>15</v>
      </c>
      <c r="G1339" s="21" t="s">
        <v>16</v>
      </c>
      <c r="H1339" s="22">
        <f>26+11</f>
        <v>37</v>
      </c>
      <c r="I1339" s="22">
        <f>Table1[[#This Row],[Total Weight Imported (lbs)]]*0.453592</f>
        <v>16.782903999999998</v>
      </c>
      <c r="J1339" s="23">
        <f>86.9+77</f>
        <v>163.9</v>
      </c>
      <c r="K1339" s="41"/>
    </row>
    <row r="1340" spans="1:11" ht="15.75" customHeight="1">
      <c r="A1340" s="28" t="s">
        <v>45</v>
      </c>
      <c r="B1340" s="28" t="s">
        <v>14</v>
      </c>
      <c r="C1340" s="28" t="s">
        <v>14</v>
      </c>
      <c r="D1340" s="28" t="str">
        <f>VLOOKUP(Table1[[#This Row],[Point of Origin]],Table2[#All],2,0)</f>
        <v>USA</v>
      </c>
      <c r="E1340" s="28" t="str">
        <f>VLOOKUP(Table1[[#This Row],[Point of Origin]],Table2[#All],3,0)</f>
        <v>Domestic</v>
      </c>
      <c r="F1340" s="28" t="s">
        <v>19</v>
      </c>
      <c r="G1340" s="21" t="s">
        <v>20</v>
      </c>
      <c r="H1340" s="22">
        <f>132+1</f>
        <v>133</v>
      </c>
      <c r="I1340" s="22">
        <f>Table1[[#This Row],[Total Weight Imported (lbs)]]*0.453592</f>
        <v>60.327736000000002</v>
      </c>
      <c r="J1340" s="23">
        <f>176.47+53.2</f>
        <v>229.67000000000002</v>
      </c>
      <c r="K1340" s="41"/>
    </row>
    <row r="1341" spans="1:11" ht="15.75" customHeight="1">
      <c r="A1341" s="28" t="s">
        <v>45</v>
      </c>
      <c r="B1341" s="28" t="s">
        <v>46</v>
      </c>
      <c r="C1341" s="28" t="s">
        <v>46</v>
      </c>
      <c r="D1341" s="28" t="str">
        <f>VLOOKUP(Table1[[#This Row],[Point of Origin]],Table2[#All],2,0)</f>
        <v>Mexico</v>
      </c>
      <c r="E1341" s="28" t="str">
        <f>VLOOKUP(Table1[[#This Row],[Point of Origin]],Table2[#All],3,0)</f>
        <v>International</v>
      </c>
      <c r="F1341" s="36" t="s">
        <v>47</v>
      </c>
      <c r="G1341" s="21" t="s">
        <v>32</v>
      </c>
      <c r="H1341" s="22">
        <f>10</f>
        <v>10</v>
      </c>
      <c r="I1341" s="22">
        <f>Table1[[#This Row],[Total Weight Imported (lbs)]]*0.453592</f>
        <v>4.53592</v>
      </c>
      <c r="J1341" s="23">
        <f>18.82</f>
        <v>18.82</v>
      </c>
      <c r="K1341" s="41"/>
    </row>
    <row r="1342" spans="1:11" ht="15.75" customHeight="1">
      <c r="A1342" s="28" t="s">
        <v>45</v>
      </c>
      <c r="B1342" s="28" t="s">
        <v>46</v>
      </c>
      <c r="C1342" s="28" t="s">
        <v>46</v>
      </c>
      <c r="D1342" s="28" t="str">
        <f>VLOOKUP(Table1[[#This Row],[Point of Origin]],Table2[#All],2,0)</f>
        <v>Mexico</v>
      </c>
      <c r="E1342" s="28" t="str">
        <f>VLOOKUP(Table1[[#This Row],[Point of Origin]],Table2[#All],3,0)</f>
        <v>International</v>
      </c>
      <c r="F1342" s="28" t="s">
        <v>48</v>
      </c>
      <c r="G1342" s="21" t="s">
        <v>49</v>
      </c>
      <c r="H1342" s="22">
        <f>240</f>
        <v>240</v>
      </c>
      <c r="I1342" s="22">
        <f>Table1[[#This Row],[Total Weight Imported (lbs)]]*0.453592</f>
        <v>108.86207999999999</v>
      </c>
      <c r="J1342" s="23">
        <f>317.65</f>
        <v>317.64999999999998</v>
      </c>
      <c r="K1342" s="41"/>
    </row>
    <row r="1343" spans="1:11" ht="15.75" customHeight="1">
      <c r="A1343" s="28" t="s">
        <v>45</v>
      </c>
      <c r="B1343" s="28" t="s">
        <v>14</v>
      </c>
      <c r="C1343" s="28" t="s">
        <v>14</v>
      </c>
      <c r="D1343" s="28" t="str">
        <f>VLOOKUP(Table1[[#This Row],[Point of Origin]],Table2[#All],2,0)</f>
        <v>USA</v>
      </c>
      <c r="E1343" s="28" t="str">
        <f>VLOOKUP(Table1[[#This Row],[Point of Origin]],Table2[#All],3,0)</f>
        <v>Domestic</v>
      </c>
      <c r="F1343" s="28" t="s">
        <v>50</v>
      </c>
      <c r="G1343" s="21" t="s">
        <v>51</v>
      </c>
      <c r="H1343" s="22">
        <f>100</f>
        <v>100</v>
      </c>
      <c r="I1343" s="22">
        <f>Table1[[#This Row],[Total Weight Imported (lbs)]]*0.453592</f>
        <v>45.359200000000001</v>
      </c>
      <c r="J1343" s="23">
        <f>134.12</f>
        <v>134.12</v>
      </c>
      <c r="K1343" s="41"/>
    </row>
    <row r="1344" spans="1:11" ht="15.75" customHeight="1">
      <c r="A1344" s="28" t="s">
        <v>45</v>
      </c>
      <c r="B1344" s="28" t="s">
        <v>14</v>
      </c>
      <c r="C1344" s="28" t="s">
        <v>14</v>
      </c>
      <c r="D1344" s="28" t="str">
        <f>VLOOKUP(Table1[[#This Row],[Point of Origin]],Table2[#All],2,0)</f>
        <v>USA</v>
      </c>
      <c r="E1344" s="28" t="str">
        <f>VLOOKUP(Table1[[#This Row],[Point of Origin]],Table2[#All],3,0)</f>
        <v>Domestic</v>
      </c>
      <c r="F1344" s="28" t="s">
        <v>218</v>
      </c>
      <c r="G1344" s="21" t="s">
        <v>41</v>
      </c>
      <c r="H1344" s="22">
        <f>27</f>
        <v>27</v>
      </c>
      <c r="I1344" s="22">
        <f>Table1[[#This Row],[Total Weight Imported (lbs)]]*0.453592</f>
        <v>12.246983999999999</v>
      </c>
      <c r="J1344" s="23">
        <f>24.71</f>
        <v>24.71</v>
      </c>
      <c r="K1344" s="41"/>
    </row>
    <row r="1345" spans="1:11" ht="15.75" customHeight="1">
      <c r="A1345" s="28" t="s">
        <v>45</v>
      </c>
      <c r="B1345" s="28" t="s">
        <v>14</v>
      </c>
      <c r="C1345" s="28" t="s">
        <v>14</v>
      </c>
      <c r="D1345" s="28" t="str">
        <f>VLOOKUP(Table1[[#This Row],[Point of Origin]],Table2[#All],2,0)</f>
        <v>USA</v>
      </c>
      <c r="E1345" s="28" t="str">
        <f>VLOOKUP(Table1[[#This Row],[Point of Origin]],Table2[#All],3,0)</f>
        <v>Domestic</v>
      </c>
      <c r="F1345" s="28" t="s">
        <v>107</v>
      </c>
      <c r="G1345" s="21" t="s">
        <v>108</v>
      </c>
      <c r="H1345" s="22">
        <f>3+10+5+5+2+3+5+3</f>
        <v>36</v>
      </c>
      <c r="I1345" s="22">
        <f>Table1[[#This Row],[Total Weight Imported (lbs)]]*0.453592</f>
        <v>16.329312000000002</v>
      </c>
      <c r="J1345" s="23">
        <f>46.2+154+65.25+140+30.8+39.9+64.25+39.9</f>
        <v>580.29999999999995</v>
      </c>
      <c r="K1345" s="1"/>
    </row>
    <row r="1346" spans="1:11" ht="15.75" customHeight="1">
      <c r="A1346" s="28" t="s">
        <v>45</v>
      </c>
      <c r="B1346" s="28" t="s">
        <v>14</v>
      </c>
      <c r="C1346" s="28" t="s">
        <v>14</v>
      </c>
      <c r="D1346" s="28" t="str">
        <f>VLOOKUP(Table1[[#This Row],[Point of Origin]],Table2[#All],2,0)</f>
        <v>USA</v>
      </c>
      <c r="E1346" s="28" t="str">
        <f>VLOOKUP(Table1[[#This Row],[Point of Origin]],Table2[#All],3,0)</f>
        <v>Domestic</v>
      </c>
      <c r="F1346" s="28" t="s">
        <v>280</v>
      </c>
      <c r="G1346" s="21" t="s">
        <v>32</v>
      </c>
      <c r="H1346" s="22">
        <f>1+1</f>
        <v>2</v>
      </c>
      <c r="I1346" s="22">
        <f>Table1[[#This Row],[Total Weight Imported (lbs)]]*0.453592</f>
        <v>0.90718399999999999</v>
      </c>
      <c r="J1346" s="23">
        <f>7+7</f>
        <v>14</v>
      </c>
      <c r="K1346" s="41"/>
    </row>
    <row r="1347" spans="1:11" ht="15.75" customHeight="1">
      <c r="A1347" s="28" t="s">
        <v>45</v>
      </c>
      <c r="B1347" s="28" t="s">
        <v>14</v>
      </c>
      <c r="C1347" s="28" t="s">
        <v>14</v>
      </c>
      <c r="D1347" s="28" t="str">
        <f>VLOOKUP(Table1[[#This Row],[Point of Origin]],Table2[#All],2,0)</f>
        <v>USA</v>
      </c>
      <c r="E1347" s="28" t="str">
        <f>VLOOKUP(Table1[[#This Row],[Point of Origin]],Table2[#All],3,0)</f>
        <v>Domestic</v>
      </c>
      <c r="F1347" s="28" t="s">
        <v>42</v>
      </c>
      <c r="G1347" s="21" t="s">
        <v>32</v>
      </c>
      <c r="H1347" s="22">
        <f>3</f>
        <v>3</v>
      </c>
      <c r="I1347" s="22">
        <f>Table1[[#This Row],[Total Weight Imported (lbs)]]*0.453592</f>
        <v>1.360776</v>
      </c>
      <c r="J1347" s="23">
        <f>16.8</f>
        <v>16.8</v>
      </c>
      <c r="K1347" s="41"/>
    </row>
    <row r="1348" spans="1:11" ht="15.75" customHeight="1">
      <c r="A1348" s="28" t="s">
        <v>45</v>
      </c>
      <c r="B1348" s="28" t="s">
        <v>14</v>
      </c>
      <c r="C1348" s="28" t="s">
        <v>14</v>
      </c>
      <c r="D1348" s="28" t="str">
        <f>VLOOKUP(Table1[[#This Row],[Point of Origin]],Table2[#All],2,0)</f>
        <v>USA</v>
      </c>
      <c r="E1348" s="28" t="str">
        <f>VLOOKUP(Table1[[#This Row],[Point of Origin]],Table2[#All],3,0)</f>
        <v>Domestic</v>
      </c>
      <c r="F1348" s="28" t="s">
        <v>35</v>
      </c>
      <c r="G1348" s="21" t="s">
        <v>32</v>
      </c>
      <c r="H1348" s="22">
        <f>1</f>
        <v>1</v>
      </c>
      <c r="I1348" s="22">
        <f>Table1[[#This Row],[Total Weight Imported (lbs)]]*0.453592</f>
        <v>0.453592</v>
      </c>
      <c r="J1348" s="23">
        <f>11.2</f>
        <v>11.2</v>
      </c>
      <c r="K1348" s="41"/>
    </row>
    <row r="1349" spans="1:11" ht="15.75" customHeight="1">
      <c r="A1349" s="28" t="s">
        <v>45</v>
      </c>
      <c r="B1349" s="28" t="s">
        <v>14</v>
      </c>
      <c r="C1349" s="28" t="s">
        <v>14</v>
      </c>
      <c r="D1349" s="28" t="str">
        <f>VLOOKUP(Table1[[#This Row],[Point of Origin]],Table2[#All],2,0)</f>
        <v>USA</v>
      </c>
      <c r="E1349" s="28" t="str">
        <f>VLOOKUP(Table1[[#This Row],[Point of Origin]],Table2[#All],3,0)</f>
        <v>Domestic</v>
      </c>
      <c r="F1349" s="36" t="s">
        <v>183</v>
      </c>
      <c r="G1349" s="21" t="s">
        <v>32</v>
      </c>
      <c r="H1349" s="22">
        <f>2</f>
        <v>2</v>
      </c>
      <c r="I1349" s="22">
        <f>Table1[[#This Row],[Total Weight Imported (lbs)]]*0.453592</f>
        <v>0.90718399999999999</v>
      </c>
      <c r="J1349" s="23">
        <f>40.6</f>
        <v>40.6</v>
      </c>
      <c r="K1349" s="41"/>
    </row>
    <row r="1350" spans="1:11" ht="15.75" customHeight="1">
      <c r="A1350" s="28" t="s">
        <v>45</v>
      </c>
      <c r="B1350" s="28" t="s">
        <v>14</v>
      </c>
      <c r="C1350" s="28" t="s">
        <v>14</v>
      </c>
      <c r="D1350" s="28" t="str">
        <f>VLOOKUP(Table1[[#This Row],[Point of Origin]],Table2[#All],2,0)</f>
        <v>USA</v>
      </c>
      <c r="E1350" s="28" t="str">
        <f>VLOOKUP(Table1[[#This Row],[Point of Origin]],Table2[#All],3,0)</f>
        <v>Domestic</v>
      </c>
      <c r="F1350" s="28" t="s">
        <v>40</v>
      </c>
      <c r="G1350" s="21" t="s">
        <v>41</v>
      </c>
      <c r="H1350" s="22">
        <f>5+1+6</f>
        <v>12</v>
      </c>
      <c r="I1350" s="22">
        <f>Table1[[#This Row],[Total Weight Imported (lbs)]]*0.453592</f>
        <v>5.4431039999999999</v>
      </c>
      <c r="J1350" s="23">
        <f>44.8+28+134.4</f>
        <v>207.2</v>
      </c>
      <c r="K1350" s="41"/>
    </row>
    <row r="1351" spans="1:11" ht="15.75" customHeight="1">
      <c r="A1351" s="28" t="s">
        <v>45</v>
      </c>
      <c r="B1351" s="28" t="s">
        <v>14</v>
      </c>
      <c r="C1351" s="28" t="s">
        <v>14</v>
      </c>
      <c r="D1351" s="28" t="str">
        <f>VLOOKUP(Table1[[#This Row],[Point of Origin]],Table2[#All],2,0)</f>
        <v>USA</v>
      </c>
      <c r="E1351" s="28" t="str">
        <f>VLOOKUP(Table1[[#This Row],[Point of Origin]],Table2[#All],3,0)</f>
        <v>Domestic</v>
      </c>
      <c r="F1351" s="28" t="s">
        <v>38</v>
      </c>
      <c r="G1351" s="21" t="s">
        <v>39</v>
      </c>
      <c r="H1351" s="22">
        <f>2+1+6</f>
        <v>9</v>
      </c>
      <c r="I1351" s="22">
        <f>Table1[[#This Row],[Total Weight Imported (lbs)]]*0.453592</f>
        <v>4.0823280000000004</v>
      </c>
      <c r="J1351" s="23">
        <f>86.8+50.4+260.4</f>
        <v>397.59999999999997</v>
      </c>
      <c r="K1351" s="41"/>
    </row>
    <row r="1352" spans="1:11" ht="15.75" customHeight="1">
      <c r="A1352" s="28" t="s">
        <v>45</v>
      </c>
      <c r="B1352" s="28" t="s">
        <v>14</v>
      </c>
      <c r="C1352" s="28" t="s">
        <v>14</v>
      </c>
      <c r="D1352" s="28" t="str">
        <f>VLOOKUP(Table1[[#This Row],[Point of Origin]],Table2[#All],2,0)</f>
        <v>USA</v>
      </c>
      <c r="E1352" s="28" t="str">
        <f>VLOOKUP(Table1[[#This Row],[Point of Origin]],Table2[#All],3,0)</f>
        <v>Domestic</v>
      </c>
      <c r="F1352" s="28" t="s">
        <v>101</v>
      </c>
      <c r="G1352" s="21" t="s">
        <v>32</v>
      </c>
      <c r="H1352" s="22">
        <f>1</f>
        <v>1</v>
      </c>
      <c r="I1352" s="22">
        <f>Table1[[#This Row],[Total Weight Imported (lbs)]]*0.453592</f>
        <v>0.453592</v>
      </c>
      <c r="J1352" s="23">
        <f>18.2</f>
        <v>18.2</v>
      </c>
      <c r="K1352" s="1"/>
    </row>
    <row r="1353" spans="1:11" ht="15.75" customHeight="1">
      <c r="A1353" s="28" t="s">
        <v>45</v>
      </c>
      <c r="B1353" s="28" t="s">
        <v>14</v>
      </c>
      <c r="C1353" s="28" t="s">
        <v>14</v>
      </c>
      <c r="D1353" s="28" t="str">
        <f>VLOOKUP(Table1[[#This Row],[Point of Origin]],Table2[#All],2,0)</f>
        <v>USA</v>
      </c>
      <c r="E1353" s="28" t="str">
        <f>VLOOKUP(Table1[[#This Row],[Point of Origin]],Table2[#All],3,0)</f>
        <v>Domestic</v>
      </c>
      <c r="F1353" s="28" t="s">
        <v>36</v>
      </c>
      <c r="G1353" s="21" t="s">
        <v>37</v>
      </c>
      <c r="H1353" s="22">
        <f>2</f>
        <v>2</v>
      </c>
      <c r="I1353" s="22">
        <f>Table1[[#This Row],[Total Weight Imported (lbs)]]*0.453592</f>
        <v>0.90718399999999999</v>
      </c>
      <c r="J1353" s="23">
        <f>154</f>
        <v>154</v>
      </c>
      <c r="K1353" s="1"/>
    </row>
    <row r="1354" spans="1:11" ht="15.75" customHeight="1">
      <c r="A1354" s="28" t="s">
        <v>45</v>
      </c>
      <c r="B1354" s="28" t="s">
        <v>14</v>
      </c>
      <c r="C1354" s="28" t="s">
        <v>14</v>
      </c>
      <c r="D1354" s="28" t="str">
        <f>VLOOKUP(Table1[[#This Row],[Point of Origin]],Table2[#All],2,0)</f>
        <v>USA</v>
      </c>
      <c r="E1354" s="28" t="str">
        <f>VLOOKUP(Table1[[#This Row],[Point of Origin]],Table2[#All],3,0)</f>
        <v>Domestic</v>
      </c>
      <c r="F1354" s="36" t="s">
        <v>93</v>
      </c>
      <c r="G1354" s="21" t="s">
        <v>94</v>
      </c>
      <c r="H1354" s="22">
        <f t="shared" ref="H1354:H1355" si="2">1</f>
        <v>1</v>
      </c>
      <c r="I1354" s="22">
        <f>Table1[[#This Row],[Total Weight Imported (lbs)]]*0.453592</f>
        <v>0.453592</v>
      </c>
      <c r="J1354" s="23">
        <f>36.4</f>
        <v>36.4</v>
      </c>
      <c r="K1354" s="1"/>
    </row>
    <row r="1355" spans="1:11" ht="15.75" customHeight="1">
      <c r="A1355" s="28" t="s">
        <v>45</v>
      </c>
      <c r="B1355" s="28" t="s">
        <v>14</v>
      </c>
      <c r="C1355" s="28" t="s">
        <v>14</v>
      </c>
      <c r="D1355" s="28" t="str">
        <f>VLOOKUP(Table1[[#This Row],[Point of Origin]],Table2[#All],2,0)</f>
        <v>USA</v>
      </c>
      <c r="E1355" s="28" t="str">
        <f>VLOOKUP(Table1[[#This Row],[Point of Origin]],Table2[#All],3,0)</f>
        <v>Domestic</v>
      </c>
      <c r="F1355" s="28" t="s">
        <v>54</v>
      </c>
      <c r="G1355" s="21" t="s">
        <v>30</v>
      </c>
      <c r="H1355" s="22">
        <f t="shared" si="2"/>
        <v>1</v>
      </c>
      <c r="I1355" s="22">
        <f>Table1[[#This Row],[Total Weight Imported (lbs)]]*0.453592</f>
        <v>0.453592</v>
      </c>
      <c r="J1355" s="23">
        <f>28</f>
        <v>28</v>
      </c>
      <c r="K1355" s="41"/>
    </row>
    <row r="1356" spans="1:11" ht="15.75" customHeight="1">
      <c r="A1356" s="28" t="s">
        <v>45</v>
      </c>
      <c r="B1356" s="28" t="s">
        <v>14</v>
      </c>
      <c r="C1356" s="28" t="s">
        <v>14</v>
      </c>
      <c r="D1356" s="28" t="str">
        <f>VLOOKUP(Table1[[#This Row],[Point of Origin]],Table2[#All],2,0)</f>
        <v>USA</v>
      </c>
      <c r="E1356" s="28" t="str">
        <f>VLOOKUP(Table1[[#This Row],[Point of Origin]],Table2[#All],3,0)</f>
        <v>Domestic</v>
      </c>
      <c r="F1356" s="28" t="s">
        <v>33</v>
      </c>
      <c r="G1356" s="21" t="s">
        <v>34</v>
      </c>
      <c r="H1356" s="22">
        <f>2</f>
        <v>2</v>
      </c>
      <c r="I1356" s="22">
        <f>Table1[[#This Row],[Total Weight Imported (lbs)]]*0.453592</f>
        <v>0.90718399999999999</v>
      </c>
      <c r="J1356" s="23">
        <f>25.2</f>
        <v>25.2</v>
      </c>
      <c r="K1356" s="41"/>
    </row>
    <row r="1357" spans="1:11" ht="15.75" customHeight="1">
      <c r="A1357" s="20" t="s">
        <v>13</v>
      </c>
      <c r="B1357" s="20" t="s">
        <v>14</v>
      </c>
      <c r="C1357" s="20" t="s">
        <v>14</v>
      </c>
      <c r="D1357" s="20" t="str">
        <f>VLOOKUP(Table1[[#This Row],[Point of Origin]],Table2[#All],2,0)</f>
        <v>USA</v>
      </c>
      <c r="E1357" s="20" t="str">
        <f>VLOOKUP(Table1[[#This Row],[Point of Origin]],Table2[#All],3,0)</f>
        <v>Domestic</v>
      </c>
      <c r="F1357" s="42" t="s">
        <v>15</v>
      </c>
      <c r="G1357" s="58" t="s">
        <v>16</v>
      </c>
      <c r="H1357" s="22">
        <f>104+2</f>
        <v>106</v>
      </c>
      <c r="I1357" s="68">
        <f>Table1[[#This Row],[Total Weight Imported (lbs)]]*0.453592</f>
        <v>48.080751999999997</v>
      </c>
      <c r="J1357" s="55">
        <f>375.76+154</f>
        <v>529.76</v>
      </c>
      <c r="K1357" s="41"/>
    </row>
    <row r="1358" spans="1:11" ht="15.75" customHeight="1">
      <c r="A1358" s="20" t="s">
        <v>13</v>
      </c>
      <c r="B1358" s="20" t="s">
        <v>14</v>
      </c>
      <c r="C1358" s="20" t="s">
        <v>14</v>
      </c>
      <c r="D1358" s="20" t="str">
        <f>VLOOKUP(Table1[[#This Row],[Point of Origin]],Table2[#All],2,0)</f>
        <v>USA</v>
      </c>
      <c r="E1358" s="20" t="str">
        <f>VLOOKUP(Table1[[#This Row],[Point of Origin]],Table2[#All],3,0)</f>
        <v>Domestic</v>
      </c>
      <c r="F1358" s="42" t="s">
        <v>17</v>
      </c>
      <c r="G1358" s="58" t="s">
        <v>18</v>
      </c>
      <c r="H1358" s="22">
        <f>32</f>
        <v>32</v>
      </c>
      <c r="I1358" s="68">
        <f>Table1[[#This Row],[Total Weight Imported (lbs)]]*0.453592</f>
        <v>14.514944</v>
      </c>
      <c r="J1358" s="55">
        <f>43.77</f>
        <v>43.77</v>
      </c>
      <c r="K1358" s="1"/>
    </row>
    <row r="1359" spans="1:11" ht="15.75" customHeight="1">
      <c r="A1359" s="20" t="s">
        <v>13</v>
      </c>
      <c r="B1359" s="20" t="s">
        <v>25</v>
      </c>
      <c r="C1359" s="20" t="s">
        <v>25</v>
      </c>
      <c r="D1359" s="20" t="str">
        <f>VLOOKUP(Table1[[#This Row],[Point of Origin]],Table2[#All],2,0)</f>
        <v>Uraguay</v>
      </c>
      <c r="E1359" s="20" t="str">
        <f>VLOOKUP(Table1[[#This Row],[Point of Origin]],Table2[#All],3,0)</f>
        <v>International</v>
      </c>
      <c r="F1359" s="56" t="s">
        <v>90</v>
      </c>
      <c r="G1359" s="58" t="s">
        <v>70</v>
      </c>
      <c r="H1359" s="22">
        <f>143</f>
        <v>143</v>
      </c>
      <c r="I1359" s="68">
        <f>Table1[[#This Row],[Total Weight Imported (lbs)]]*0.453592</f>
        <v>64.863656000000006</v>
      </c>
      <c r="J1359" s="55">
        <v>1009.36</v>
      </c>
      <c r="K1359" s="1"/>
    </row>
    <row r="1360" spans="1:11" ht="15.75" customHeight="1">
      <c r="A1360" s="20" t="s">
        <v>13</v>
      </c>
      <c r="B1360" s="20" t="s">
        <v>14</v>
      </c>
      <c r="C1360" s="20" t="s">
        <v>14</v>
      </c>
      <c r="D1360" s="20" t="str">
        <f>VLOOKUP(Table1[[#This Row],[Point of Origin]],Table2[#All],2,0)</f>
        <v>USA</v>
      </c>
      <c r="E1360" s="20" t="str">
        <f>VLOOKUP(Table1[[#This Row],[Point of Origin]],Table2[#All],3,0)</f>
        <v>Domestic</v>
      </c>
      <c r="F1360" s="42" t="s">
        <v>19</v>
      </c>
      <c r="G1360" s="58" t="s">
        <v>20</v>
      </c>
      <c r="H1360" s="22">
        <f>374+32</f>
        <v>406</v>
      </c>
      <c r="I1360" s="68">
        <f>Table1[[#This Row],[Total Weight Imported (lbs)]]*0.453592</f>
        <v>184.15835200000001</v>
      </c>
      <c r="J1360" s="55">
        <f>500+70.58</f>
        <v>570.58000000000004</v>
      </c>
      <c r="K1360" s="41"/>
    </row>
    <row r="1361" spans="1:11" ht="15.75" customHeight="1">
      <c r="A1361" s="20" t="s">
        <v>13</v>
      </c>
      <c r="B1361" s="20" t="s">
        <v>14</v>
      </c>
      <c r="C1361" s="20" t="s">
        <v>14</v>
      </c>
      <c r="D1361" s="20" t="str">
        <f>VLOOKUP(Table1[[#This Row],[Point of Origin]],Table2[#All],2,0)</f>
        <v>USA</v>
      </c>
      <c r="E1361" s="20" t="str">
        <f>VLOOKUP(Table1[[#This Row],[Point of Origin]],Table2[#All],3,0)</f>
        <v>Domestic</v>
      </c>
      <c r="F1361" s="42" t="s">
        <v>21</v>
      </c>
      <c r="G1361" s="58" t="s">
        <v>22</v>
      </c>
      <c r="H1361" s="22">
        <f>54</f>
        <v>54</v>
      </c>
      <c r="I1361" s="68">
        <f>Table1[[#This Row],[Total Weight Imported (lbs)]]*0.453592</f>
        <v>24.493967999999999</v>
      </c>
      <c r="J1361" s="55">
        <f>73.53</f>
        <v>73.53</v>
      </c>
      <c r="K1361" s="1"/>
    </row>
    <row r="1362" spans="1:11" ht="15.75" customHeight="1">
      <c r="A1362" s="20" t="s">
        <v>13</v>
      </c>
      <c r="B1362" s="20" t="s">
        <v>14</v>
      </c>
      <c r="C1362" s="20" t="s">
        <v>14</v>
      </c>
      <c r="D1362" s="20" t="str">
        <f>VLOOKUP(Table1[[#This Row],[Point of Origin]],Table2[#All],2,0)</f>
        <v>USA</v>
      </c>
      <c r="E1362" s="20" t="str">
        <f>VLOOKUP(Table1[[#This Row],[Point of Origin]],Table2[#All],3,0)</f>
        <v>Domestic</v>
      </c>
      <c r="F1362" s="56" t="s">
        <v>47</v>
      </c>
      <c r="G1362" s="58" t="s">
        <v>32</v>
      </c>
      <c r="H1362" s="22">
        <f>10</f>
        <v>10</v>
      </c>
      <c r="I1362" s="68">
        <f>Table1[[#This Row],[Total Weight Imported (lbs)]]*0.453592</f>
        <v>4.53592</v>
      </c>
      <c r="J1362" s="55">
        <f>18.82</f>
        <v>18.82</v>
      </c>
      <c r="K1362" s="41"/>
    </row>
    <row r="1363" spans="1:11" ht="15.75" customHeight="1">
      <c r="A1363" s="20" t="s">
        <v>13</v>
      </c>
      <c r="B1363" s="20" t="s">
        <v>14</v>
      </c>
      <c r="C1363" s="20" t="s">
        <v>14</v>
      </c>
      <c r="D1363" s="20" t="str">
        <f>VLOOKUP(Table1[[#This Row],[Point of Origin]],Table2[#All],2,0)</f>
        <v>USA</v>
      </c>
      <c r="E1363" s="20" t="str">
        <f>VLOOKUP(Table1[[#This Row],[Point of Origin]],Table2[#All],3,0)</f>
        <v>Domestic</v>
      </c>
      <c r="F1363" s="56" t="s">
        <v>23</v>
      </c>
      <c r="G1363" s="58" t="s">
        <v>24</v>
      </c>
      <c r="H1363" s="22">
        <f>936</f>
        <v>936</v>
      </c>
      <c r="I1363" s="68">
        <f>Table1[[#This Row],[Total Weight Imported (lbs)]]*0.453592</f>
        <v>424.56211200000001</v>
      </c>
      <c r="J1363" s="55">
        <f>847.06</f>
        <v>847.06</v>
      </c>
      <c r="K1363" s="1"/>
    </row>
    <row r="1364" spans="1:11" ht="15.75" customHeight="1">
      <c r="A1364" s="20" t="s">
        <v>13</v>
      </c>
      <c r="B1364" s="20" t="s">
        <v>14</v>
      </c>
      <c r="C1364" s="20" t="s">
        <v>14</v>
      </c>
      <c r="D1364" s="20" t="str">
        <f>VLOOKUP(Table1[[#This Row],[Point of Origin]],Table2[#All],2,0)</f>
        <v>USA</v>
      </c>
      <c r="E1364" s="20" t="str">
        <f>VLOOKUP(Table1[[#This Row],[Point of Origin]],Table2[#All],3,0)</f>
        <v>Domestic</v>
      </c>
      <c r="F1364" s="42" t="s">
        <v>50</v>
      </c>
      <c r="G1364" s="58" t="s">
        <v>51</v>
      </c>
      <c r="H1364" s="22">
        <f>180</f>
        <v>180</v>
      </c>
      <c r="I1364" s="68">
        <f>Table1[[#This Row],[Total Weight Imported (lbs)]]*0.453592</f>
        <v>81.646559999999994</v>
      </c>
      <c r="J1364" s="55">
        <f>241.41</f>
        <v>241.41</v>
      </c>
      <c r="K1364" s="1"/>
    </row>
    <row r="1365" spans="1:11" ht="15.75" customHeight="1">
      <c r="A1365" s="20" t="s">
        <v>13</v>
      </c>
      <c r="B1365" s="20" t="s">
        <v>14</v>
      </c>
      <c r="C1365" s="20" t="s">
        <v>14</v>
      </c>
      <c r="D1365" s="20" t="str">
        <f>VLOOKUP(Table1[[#This Row],[Point of Origin]],Table2[#All],2,0)</f>
        <v>USA</v>
      </c>
      <c r="E1365" s="20" t="str">
        <f>VLOOKUP(Table1[[#This Row],[Point of Origin]],Table2[#All],3,0)</f>
        <v>Domestic</v>
      </c>
      <c r="F1365" s="42" t="s">
        <v>54</v>
      </c>
      <c r="G1365" s="58" t="s">
        <v>30</v>
      </c>
      <c r="H1365" s="22">
        <f>1</f>
        <v>1</v>
      </c>
      <c r="I1365" s="68">
        <f>Table1[[#This Row],[Total Weight Imported (lbs)]]*0.453592</f>
        <v>0.453592</v>
      </c>
      <c r="J1365" s="55">
        <f>28</f>
        <v>28</v>
      </c>
      <c r="K1365" s="41"/>
    </row>
    <row r="1366" spans="1:11" ht="15.75" customHeight="1">
      <c r="A1366" s="20" t="s">
        <v>13</v>
      </c>
      <c r="B1366" s="20" t="s">
        <v>14</v>
      </c>
      <c r="C1366" s="20" t="s">
        <v>14</v>
      </c>
      <c r="D1366" s="20" t="str">
        <f>VLOOKUP(Table1[[#This Row],[Point of Origin]],Table2[#All],2,0)</f>
        <v>USA</v>
      </c>
      <c r="E1366" s="20" t="str">
        <f>VLOOKUP(Table1[[#This Row],[Point of Origin]],Table2[#All],3,0)</f>
        <v>Domestic</v>
      </c>
      <c r="F1366" s="56" t="s">
        <v>107</v>
      </c>
      <c r="G1366" s="58" t="s">
        <v>108</v>
      </c>
      <c r="H1366" s="22">
        <f>3+2+14+1+2</f>
        <v>22</v>
      </c>
      <c r="I1366" s="68">
        <f>Table1[[#This Row],[Total Weight Imported (lbs)]]*0.453592</f>
        <v>9.979023999999999</v>
      </c>
      <c r="J1366" s="55">
        <f>39.9+30.8+215.6+12.85+56</f>
        <v>355.15000000000003</v>
      </c>
      <c r="K1366" s="1"/>
    </row>
    <row r="1367" spans="1:11" ht="15.75" customHeight="1">
      <c r="A1367" s="20" t="s">
        <v>13</v>
      </c>
      <c r="B1367" s="20" t="s">
        <v>14</v>
      </c>
      <c r="C1367" s="20" t="s">
        <v>14</v>
      </c>
      <c r="D1367" s="20" t="str">
        <f>VLOOKUP(Table1[[#This Row],[Point of Origin]],Table2[#All],2,0)</f>
        <v>USA</v>
      </c>
      <c r="E1367" s="20" t="str">
        <f>VLOOKUP(Table1[[#This Row],[Point of Origin]],Table2[#All],3,0)</f>
        <v>Domestic</v>
      </c>
      <c r="F1367" s="56" t="s">
        <v>167</v>
      </c>
      <c r="G1367" s="58" t="s">
        <v>168</v>
      </c>
      <c r="H1367" s="22">
        <f>1</f>
        <v>1</v>
      </c>
      <c r="I1367" s="68">
        <f>Table1[[#This Row],[Total Weight Imported (lbs)]]*0.453592</f>
        <v>0.453592</v>
      </c>
      <c r="J1367" s="55">
        <f>42</f>
        <v>42</v>
      </c>
      <c r="K1367" s="41"/>
    </row>
    <row r="1368" spans="1:11" ht="15.75" customHeight="1">
      <c r="A1368" s="20" t="s">
        <v>13</v>
      </c>
      <c r="B1368" s="20" t="s">
        <v>14</v>
      </c>
      <c r="C1368" s="20" t="s">
        <v>14</v>
      </c>
      <c r="D1368" s="20" t="str">
        <f>VLOOKUP(Table1[[#This Row],[Point of Origin]],Table2[#All],2,0)</f>
        <v>USA</v>
      </c>
      <c r="E1368" s="20" t="str">
        <f>VLOOKUP(Table1[[#This Row],[Point of Origin]],Table2[#All],3,0)</f>
        <v>Domestic</v>
      </c>
      <c r="F1368" s="42" t="s">
        <v>280</v>
      </c>
      <c r="G1368" s="58" t="s">
        <v>32</v>
      </c>
      <c r="H1368" s="22">
        <f>1+2</f>
        <v>3</v>
      </c>
      <c r="I1368" s="68">
        <f>Table1[[#This Row],[Total Weight Imported (lbs)]]*0.453592</f>
        <v>1.360776</v>
      </c>
      <c r="J1368" s="55">
        <f>7+14</f>
        <v>21</v>
      </c>
      <c r="K1368" s="1"/>
    </row>
    <row r="1369" spans="1:11" ht="15.75" customHeight="1">
      <c r="A1369" s="20" t="s">
        <v>13</v>
      </c>
      <c r="B1369" s="20" t="s">
        <v>14</v>
      </c>
      <c r="C1369" s="20" t="s">
        <v>14</v>
      </c>
      <c r="D1369" s="20" t="str">
        <f>VLOOKUP(Table1[[#This Row],[Point of Origin]],Table2[#All],2,0)</f>
        <v>USA</v>
      </c>
      <c r="E1369" s="20" t="str">
        <f>VLOOKUP(Table1[[#This Row],[Point of Origin]],Table2[#All],3,0)</f>
        <v>Domestic</v>
      </c>
      <c r="F1369" s="42" t="s">
        <v>33</v>
      </c>
      <c r="G1369" s="58" t="s">
        <v>34</v>
      </c>
      <c r="H1369" s="22">
        <f t="shared" ref="H1369:H1372" si="3">1</f>
        <v>1</v>
      </c>
      <c r="I1369" s="68">
        <f>Table1[[#This Row],[Total Weight Imported (lbs)]]*0.453592</f>
        <v>0.453592</v>
      </c>
      <c r="J1369" s="55">
        <f>12.6</f>
        <v>12.6</v>
      </c>
      <c r="K1369" s="41"/>
    </row>
    <row r="1370" spans="1:11" ht="15.75" customHeight="1">
      <c r="A1370" s="20" t="s">
        <v>13</v>
      </c>
      <c r="B1370" s="20" t="s">
        <v>14</v>
      </c>
      <c r="C1370" s="20" t="s">
        <v>14</v>
      </c>
      <c r="D1370" s="20" t="str">
        <f>VLOOKUP(Table1[[#This Row],[Point of Origin]],Table2[#All],2,0)</f>
        <v>USA</v>
      </c>
      <c r="E1370" s="20" t="str">
        <f>VLOOKUP(Table1[[#This Row],[Point of Origin]],Table2[#All],3,0)</f>
        <v>Domestic</v>
      </c>
      <c r="F1370" s="42" t="s">
        <v>36</v>
      </c>
      <c r="G1370" s="58" t="s">
        <v>37</v>
      </c>
      <c r="H1370" s="22">
        <f t="shared" si="3"/>
        <v>1</v>
      </c>
      <c r="I1370" s="68">
        <f>Table1[[#This Row],[Total Weight Imported (lbs)]]*0.453592</f>
        <v>0.453592</v>
      </c>
      <c r="J1370" s="55">
        <f>68.6</f>
        <v>68.599999999999994</v>
      </c>
      <c r="K1370" s="1"/>
    </row>
    <row r="1371" spans="1:11" ht="15.75" customHeight="1">
      <c r="A1371" s="20" t="s">
        <v>13</v>
      </c>
      <c r="B1371" s="20" t="s">
        <v>14</v>
      </c>
      <c r="C1371" s="20" t="s">
        <v>14</v>
      </c>
      <c r="D1371" s="20" t="str">
        <f>VLOOKUP(Table1[[#This Row],[Point of Origin]],Table2[#All],2,0)</f>
        <v>USA</v>
      </c>
      <c r="E1371" s="20" t="str">
        <f>VLOOKUP(Table1[[#This Row],[Point of Origin]],Table2[#All],3,0)</f>
        <v>Domestic</v>
      </c>
      <c r="F1371" s="42" t="s">
        <v>17</v>
      </c>
      <c r="G1371" s="58" t="s">
        <v>18</v>
      </c>
      <c r="H1371" s="22">
        <f t="shared" si="3"/>
        <v>1</v>
      </c>
      <c r="I1371" s="68">
        <f>Table1[[#This Row],[Total Weight Imported (lbs)]]*0.453592</f>
        <v>0.453592</v>
      </c>
      <c r="J1371" s="55">
        <f>40.6</f>
        <v>40.6</v>
      </c>
      <c r="K1371" s="1"/>
    </row>
    <row r="1372" spans="1:11" ht="15.75" customHeight="1">
      <c r="A1372" s="20" t="s">
        <v>13</v>
      </c>
      <c r="B1372" s="20" t="s">
        <v>14</v>
      </c>
      <c r="C1372" s="20" t="s">
        <v>14</v>
      </c>
      <c r="D1372" s="20" t="str">
        <f>VLOOKUP(Table1[[#This Row],[Point of Origin]],Table2[#All],2,0)</f>
        <v>USA</v>
      </c>
      <c r="E1372" s="20" t="str">
        <f>VLOOKUP(Table1[[#This Row],[Point of Origin]],Table2[#All],3,0)</f>
        <v>Domestic</v>
      </c>
      <c r="F1372" s="42" t="s">
        <v>35</v>
      </c>
      <c r="G1372" s="58" t="s">
        <v>32</v>
      </c>
      <c r="H1372" s="22">
        <f t="shared" si="3"/>
        <v>1</v>
      </c>
      <c r="I1372" s="68">
        <f>Table1[[#This Row],[Total Weight Imported (lbs)]]*0.453592</f>
        <v>0.453592</v>
      </c>
      <c r="J1372" s="55">
        <f>11.2</f>
        <v>11.2</v>
      </c>
      <c r="K1372" s="1"/>
    </row>
    <row r="1373" spans="1:11" ht="15.75" customHeight="1">
      <c r="A1373" s="20" t="s">
        <v>13</v>
      </c>
      <c r="B1373" s="20" t="s">
        <v>14</v>
      </c>
      <c r="C1373" s="20" t="s">
        <v>14</v>
      </c>
      <c r="D1373" s="20" t="str">
        <f>VLOOKUP(Table1[[#This Row],[Point of Origin]],Table2[#All],2,0)</f>
        <v>USA</v>
      </c>
      <c r="E1373" s="20" t="str">
        <f>VLOOKUP(Table1[[#This Row],[Point of Origin]],Table2[#All],3,0)</f>
        <v>Domestic</v>
      </c>
      <c r="F1373" s="42" t="s">
        <v>38</v>
      </c>
      <c r="G1373" s="58" t="s">
        <v>39</v>
      </c>
      <c r="H1373" s="22">
        <f>1+2+8</f>
        <v>11</v>
      </c>
      <c r="I1373" s="68">
        <f>Table1[[#This Row],[Total Weight Imported (lbs)]]*0.453592</f>
        <v>4.9895119999999995</v>
      </c>
      <c r="J1373" s="55">
        <f>50.4+100.8+347.2</f>
        <v>498.4</v>
      </c>
      <c r="K1373" s="41"/>
    </row>
    <row r="1374" spans="1:11" ht="15.75" customHeight="1">
      <c r="A1374" s="20" t="s">
        <v>13</v>
      </c>
      <c r="B1374" s="20" t="s">
        <v>14</v>
      </c>
      <c r="C1374" s="20" t="s">
        <v>14</v>
      </c>
      <c r="D1374" s="20" t="str">
        <f>VLOOKUP(Table1[[#This Row],[Point of Origin]],Table2[#All],2,0)</f>
        <v>USA</v>
      </c>
      <c r="E1374" s="20" t="str">
        <f>VLOOKUP(Table1[[#This Row],[Point of Origin]],Table2[#All],3,0)</f>
        <v>Domestic</v>
      </c>
      <c r="F1374" s="42" t="s">
        <v>40</v>
      </c>
      <c r="G1374" s="58" t="s">
        <v>41</v>
      </c>
      <c r="H1374" s="22">
        <f>2+8</f>
        <v>10</v>
      </c>
      <c r="I1374" s="68">
        <f>Table1[[#This Row],[Total Weight Imported (lbs)]]*0.453592</f>
        <v>4.53592</v>
      </c>
      <c r="J1374" s="55">
        <f>44.8+179.2</f>
        <v>224</v>
      </c>
      <c r="K1374" s="41"/>
    </row>
    <row r="1375" spans="1:11" ht="15.75" customHeight="1">
      <c r="A1375" s="20" t="s">
        <v>13</v>
      </c>
      <c r="B1375" s="20" t="s">
        <v>14</v>
      </c>
      <c r="C1375" s="20" t="s">
        <v>14</v>
      </c>
      <c r="D1375" s="20" t="str">
        <f>VLOOKUP(Table1[[#This Row],[Point of Origin]],Table2[#All],2,0)</f>
        <v>USA</v>
      </c>
      <c r="E1375" s="20" t="str">
        <f>VLOOKUP(Table1[[#This Row],[Point of Origin]],Table2[#All],3,0)</f>
        <v>Domestic</v>
      </c>
      <c r="F1375" s="42" t="s">
        <v>42</v>
      </c>
      <c r="G1375" s="58" t="s">
        <v>32</v>
      </c>
      <c r="H1375" s="22">
        <f>3</f>
        <v>3</v>
      </c>
      <c r="I1375" s="68">
        <f>Table1[[#This Row],[Total Weight Imported (lbs)]]*0.453592</f>
        <v>1.360776</v>
      </c>
      <c r="J1375" s="55">
        <f>16.8</f>
        <v>16.8</v>
      </c>
      <c r="K1375" s="41"/>
    </row>
    <row r="1376" spans="1:11" ht="15.75" customHeight="1">
      <c r="A1376" s="20" t="s">
        <v>13</v>
      </c>
      <c r="B1376" s="20" t="s">
        <v>14</v>
      </c>
      <c r="C1376" s="20" t="s">
        <v>14</v>
      </c>
      <c r="D1376" s="20" t="str">
        <f>VLOOKUP(Table1[[#This Row],[Point of Origin]],Table2[#All],2,0)</f>
        <v>USA</v>
      </c>
      <c r="E1376" s="20" t="str">
        <f>VLOOKUP(Table1[[#This Row],[Point of Origin]],Table2[#All],3,0)</f>
        <v>Domestic</v>
      </c>
      <c r="F1376" s="56" t="s">
        <v>102</v>
      </c>
      <c r="G1376" s="58" t="s">
        <v>32</v>
      </c>
      <c r="H1376" s="22">
        <f t="shared" ref="H1376:H1378" si="4">2</f>
        <v>2</v>
      </c>
      <c r="I1376" s="68">
        <f>Table1[[#This Row],[Total Weight Imported (lbs)]]*0.453592</f>
        <v>0.90718399999999999</v>
      </c>
      <c r="J1376" s="55">
        <f>106.4</f>
        <v>106.4</v>
      </c>
      <c r="K1376" s="41"/>
    </row>
    <row r="1377" spans="1:11" ht="15.75" customHeight="1">
      <c r="A1377" s="20" t="s">
        <v>13</v>
      </c>
      <c r="B1377" s="46" t="s">
        <v>14</v>
      </c>
      <c r="C1377" s="46" t="s">
        <v>14</v>
      </c>
      <c r="D1377" s="46" t="str">
        <f>VLOOKUP(Table1[[#This Row],[Point of Origin]],Table2[#All],2,0)</f>
        <v>USA</v>
      </c>
      <c r="E1377" s="46" t="str">
        <f>VLOOKUP(Table1[[#This Row],[Point of Origin]],Table2[#All],3,0)</f>
        <v>Domestic</v>
      </c>
      <c r="F1377" s="46" t="s">
        <v>43</v>
      </c>
      <c r="G1377" s="58" t="s">
        <v>44</v>
      </c>
      <c r="H1377" s="22">
        <f t="shared" si="4"/>
        <v>2</v>
      </c>
      <c r="I1377" s="68">
        <f>Table1[[#This Row],[Total Weight Imported (lbs)]]*0.453592</f>
        <v>0.90718399999999999</v>
      </c>
      <c r="J1377" s="55">
        <f>63</f>
        <v>63</v>
      </c>
      <c r="K1377" s="41"/>
    </row>
    <row r="1378" spans="1:11" ht="15.75" customHeight="1">
      <c r="A1378" s="20" t="s">
        <v>13</v>
      </c>
      <c r="B1378" s="46" t="s">
        <v>14</v>
      </c>
      <c r="C1378" s="46" t="s">
        <v>14</v>
      </c>
      <c r="D1378" s="46" t="str">
        <f>VLOOKUP(Table1[[#This Row],[Point of Origin]],Table2[#All],2,0)</f>
        <v>USA</v>
      </c>
      <c r="E1378" s="46" t="str">
        <f>VLOOKUP(Table1[[#This Row],[Point of Origin]],Table2[#All],3,0)</f>
        <v>Domestic</v>
      </c>
      <c r="F1378" s="46" t="s">
        <v>33</v>
      </c>
      <c r="G1378" s="58" t="s">
        <v>34</v>
      </c>
      <c r="H1378" s="22">
        <f t="shared" si="4"/>
        <v>2</v>
      </c>
      <c r="I1378" s="68">
        <f>Table1[[#This Row],[Total Weight Imported (lbs)]]*0.453592</f>
        <v>0.90718399999999999</v>
      </c>
      <c r="J1378" s="55">
        <f>25.2</f>
        <v>25.2</v>
      </c>
      <c r="K1378" s="1"/>
    </row>
    <row r="1379" spans="1:11" ht="15.75" customHeight="1">
      <c r="A1379" s="20" t="s">
        <v>13</v>
      </c>
      <c r="B1379" s="46" t="s">
        <v>14</v>
      </c>
      <c r="C1379" s="46" t="s">
        <v>14</v>
      </c>
      <c r="D1379" s="46" t="str">
        <f>VLOOKUP(Table1[[#This Row],[Point of Origin]],Table2[#All],2,0)</f>
        <v>USA</v>
      </c>
      <c r="E1379" s="46" t="str">
        <f>VLOOKUP(Table1[[#This Row],[Point of Origin]],Table2[#All],3,0)</f>
        <v>Domestic</v>
      </c>
      <c r="F1379" s="46" t="s">
        <v>281</v>
      </c>
      <c r="G1379" s="58" t="s">
        <v>282</v>
      </c>
      <c r="H1379" s="22">
        <f>1</f>
        <v>1</v>
      </c>
      <c r="I1379" s="68">
        <f>Table1[[#This Row],[Total Weight Imported (lbs)]]*0.453592</f>
        <v>0.453592</v>
      </c>
      <c r="J1379" s="55">
        <f>72.8</f>
        <v>72.8</v>
      </c>
      <c r="K1379" s="41"/>
    </row>
    <row r="1380" spans="1:11" ht="15.75" customHeight="1">
      <c r="A1380" s="28" t="s">
        <v>283</v>
      </c>
      <c r="B1380" s="28" t="s">
        <v>14</v>
      </c>
      <c r="C1380" s="28" t="s">
        <v>14</v>
      </c>
      <c r="D1380" s="28" t="str">
        <f>VLOOKUP(Table1[[#This Row],[Point of Origin]],Table2[#All],2,0)</f>
        <v>USA</v>
      </c>
      <c r="E1380" s="28" t="str">
        <f>VLOOKUP(Table1[[#This Row],[Point of Origin]],Table2[#All],3,0)</f>
        <v>Domestic</v>
      </c>
      <c r="F1380" s="59" t="s">
        <v>19</v>
      </c>
      <c r="G1380" s="58" t="s">
        <v>20</v>
      </c>
      <c r="H1380" s="22">
        <f>112</f>
        <v>112</v>
      </c>
      <c r="I1380" s="68">
        <f>Table1[[#This Row],[Total Weight Imported (lbs)]]*0.453592</f>
        <v>50.802303999999999</v>
      </c>
      <c r="J1380" s="55">
        <f>3808</f>
        <v>3808</v>
      </c>
      <c r="K1380" s="41"/>
    </row>
    <row r="1381" spans="1:11" ht="15.75" customHeight="1">
      <c r="A1381" s="28" t="s">
        <v>283</v>
      </c>
      <c r="B1381" s="28" t="s">
        <v>14</v>
      </c>
      <c r="C1381" s="28" t="s">
        <v>14</v>
      </c>
      <c r="D1381" s="28" t="str">
        <f>VLOOKUP(Table1[[#This Row],[Point of Origin]],Table2[#All],2,0)</f>
        <v>USA</v>
      </c>
      <c r="E1381" s="28" t="str">
        <f>VLOOKUP(Table1[[#This Row],[Point of Origin]],Table2[#All],3,0)</f>
        <v>Domestic</v>
      </c>
      <c r="F1381" s="59" t="s">
        <v>21</v>
      </c>
      <c r="G1381" s="58" t="s">
        <v>22</v>
      </c>
      <c r="H1381" s="22">
        <f>25</f>
        <v>25</v>
      </c>
      <c r="I1381" s="68">
        <f>Table1[[#This Row],[Total Weight Imported (lbs)]]*0.453592</f>
        <v>11.3398</v>
      </c>
      <c r="J1381" s="55">
        <f>960</f>
        <v>960</v>
      </c>
      <c r="K1381" s="1"/>
    </row>
    <row r="1382" spans="1:11" ht="15.75" customHeight="1">
      <c r="A1382" s="28" t="s">
        <v>283</v>
      </c>
      <c r="B1382" s="28" t="s">
        <v>14</v>
      </c>
      <c r="C1382" s="28" t="s">
        <v>14</v>
      </c>
      <c r="D1382" s="28" t="str">
        <f>VLOOKUP(Table1[[#This Row],[Point of Origin]],Table2[#All],2,0)</f>
        <v>USA</v>
      </c>
      <c r="E1382" s="28" t="str">
        <f>VLOOKUP(Table1[[#This Row],[Point of Origin]],Table2[#All],3,0)</f>
        <v>Domestic</v>
      </c>
      <c r="F1382" s="60" t="s">
        <v>148</v>
      </c>
      <c r="G1382" s="58" t="s">
        <v>20</v>
      </c>
      <c r="H1382" s="22">
        <f>30</f>
        <v>30</v>
      </c>
      <c r="I1382" s="68">
        <f>Table1[[#This Row],[Total Weight Imported (lbs)]]*0.453592</f>
        <v>13.607759999999999</v>
      </c>
      <c r="J1382" s="55">
        <f>1260</f>
        <v>1260</v>
      </c>
      <c r="K1382" s="1"/>
    </row>
    <row r="1383" spans="1:11" ht="15.75" customHeight="1">
      <c r="A1383" s="28" t="s">
        <v>283</v>
      </c>
      <c r="B1383" s="28" t="s">
        <v>14</v>
      </c>
      <c r="C1383" s="28" t="s">
        <v>14</v>
      </c>
      <c r="D1383" s="28" t="str">
        <f>VLOOKUP(Table1[[#This Row],[Point of Origin]],Table2[#All],2,0)</f>
        <v>USA</v>
      </c>
      <c r="E1383" s="28" t="str">
        <f>VLOOKUP(Table1[[#This Row],[Point of Origin]],Table2[#All],3,0)</f>
        <v>Domestic</v>
      </c>
      <c r="F1383" s="59" t="s">
        <v>82</v>
      </c>
      <c r="G1383" s="58" t="s">
        <v>20</v>
      </c>
      <c r="H1383" s="22">
        <f>50+50+50</f>
        <v>150</v>
      </c>
      <c r="I1383" s="68">
        <f>Table1[[#This Row],[Total Weight Imported (lbs)]]*0.453592</f>
        <v>68.038799999999995</v>
      </c>
      <c r="J1383" s="55">
        <f>1787.5+3228.75+396</f>
        <v>5412.25</v>
      </c>
      <c r="K1383" s="1"/>
    </row>
    <row r="1384" spans="1:11" ht="15.75" customHeight="1">
      <c r="A1384" s="28" t="s">
        <v>283</v>
      </c>
      <c r="B1384" s="28" t="s">
        <v>14</v>
      </c>
      <c r="C1384" s="28" t="s">
        <v>14</v>
      </c>
      <c r="D1384" s="28" t="str">
        <f>VLOOKUP(Table1[[#This Row],[Point of Origin]],Table2[#All],2,0)</f>
        <v>USA</v>
      </c>
      <c r="E1384" s="28" t="str">
        <f>VLOOKUP(Table1[[#This Row],[Point of Origin]],Table2[#All],3,0)</f>
        <v>Domestic</v>
      </c>
      <c r="F1384" s="59" t="s">
        <v>79</v>
      </c>
      <c r="G1384" s="58" t="s">
        <v>80</v>
      </c>
      <c r="H1384" s="22">
        <f>56</f>
        <v>56</v>
      </c>
      <c r="I1384" s="68">
        <f>Table1[[#This Row],[Total Weight Imported (lbs)]]*0.453592</f>
        <v>25.401152</v>
      </c>
      <c r="J1384" s="55">
        <f>1568</f>
        <v>1568</v>
      </c>
      <c r="K1384" s="1"/>
    </row>
    <row r="1385" spans="1:11" ht="15.75" customHeight="1">
      <c r="A1385" s="28" t="s">
        <v>283</v>
      </c>
      <c r="B1385" s="28" t="s">
        <v>14</v>
      </c>
      <c r="C1385" s="28" t="s">
        <v>14</v>
      </c>
      <c r="D1385" s="28" t="str">
        <f>VLOOKUP(Table1[[#This Row],[Point of Origin]],Table2[#All],2,0)</f>
        <v>USA</v>
      </c>
      <c r="E1385" s="28" t="str">
        <f>VLOOKUP(Table1[[#This Row],[Point of Origin]],Table2[#All],3,0)</f>
        <v>Domestic</v>
      </c>
      <c r="F1385" s="60" t="s">
        <v>56</v>
      </c>
      <c r="G1385" s="58" t="s">
        <v>57</v>
      </c>
      <c r="H1385" s="22">
        <f>32</f>
        <v>32</v>
      </c>
      <c r="I1385" s="68">
        <f>Table1[[#This Row],[Total Weight Imported (lbs)]]*0.453592</f>
        <v>14.514944</v>
      </c>
      <c r="J1385" s="55">
        <f>512</f>
        <v>512</v>
      </c>
      <c r="K1385" s="41"/>
    </row>
    <row r="1386" spans="1:11" ht="15.75" customHeight="1">
      <c r="A1386" s="28" t="s">
        <v>283</v>
      </c>
      <c r="B1386" s="28" t="s">
        <v>14</v>
      </c>
      <c r="C1386" s="28" t="s">
        <v>14</v>
      </c>
      <c r="D1386" s="28" t="str">
        <f>VLOOKUP(Table1[[#This Row],[Point of Origin]],Table2[#All],2,0)</f>
        <v>USA</v>
      </c>
      <c r="E1386" s="28" t="str">
        <f>VLOOKUP(Table1[[#This Row],[Point of Origin]],Table2[#All],3,0)</f>
        <v>Domestic</v>
      </c>
      <c r="F1386" s="60" t="s">
        <v>47</v>
      </c>
      <c r="G1386" s="58" t="s">
        <v>32</v>
      </c>
      <c r="H1386" s="22">
        <f>20</f>
        <v>20</v>
      </c>
      <c r="I1386" s="68">
        <f>Table1[[#This Row],[Total Weight Imported (lbs)]]*0.453592</f>
        <v>9.0718399999999999</v>
      </c>
      <c r="J1386" s="55">
        <f>400</f>
        <v>400</v>
      </c>
      <c r="K1386" s="41"/>
    </row>
    <row r="1387" spans="1:11" ht="15.75" customHeight="1">
      <c r="A1387" s="28" t="s">
        <v>283</v>
      </c>
      <c r="B1387" s="28" t="s">
        <v>14</v>
      </c>
      <c r="C1387" s="28" t="s">
        <v>14</v>
      </c>
      <c r="D1387" s="28" t="str">
        <f>VLOOKUP(Table1[[#This Row],[Point of Origin]],Table2[#All],2,0)</f>
        <v>USA</v>
      </c>
      <c r="E1387" s="28" t="str">
        <f>VLOOKUP(Table1[[#This Row],[Point of Origin]],Table2[#All],3,0)</f>
        <v>Domestic</v>
      </c>
      <c r="F1387" s="59" t="s">
        <v>59</v>
      </c>
      <c r="G1387" s="58" t="s">
        <v>60</v>
      </c>
      <c r="H1387" s="22">
        <f>70+28+120</f>
        <v>218</v>
      </c>
      <c r="I1387" s="68">
        <f>Table1[[#This Row],[Total Weight Imported (lbs)]]*0.453592</f>
        <v>98.883055999999996</v>
      </c>
      <c r="J1387" s="55">
        <f>1505+602+3180</f>
        <v>5287</v>
      </c>
      <c r="K1387" s="61"/>
    </row>
    <row r="1388" spans="1:11" ht="15.75" customHeight="1">
      <c r="A1388" s="20" t="s">
        <v>149</v>
      </c>
      <c r="B1388" s="20" t="s">
        <v>14</v>
      </c>
      <c r="C1388" s="20" t="s">
        <v>14</v>
      </c>
      <c r="D1388" s="20" t="str">
        <f>VLOOKUP(Table1[[#This Row],[Point of Origin]],Table2[#All],2,0)</f>
        <v>USA</v>
      </c>
      <c r="E1388" s="20" t="str">
        <f>VLOOKUP(Table1[[#This Row],[Point of Origin]],Table2[#All],3,0)</f>
        <v>Domestic</v>
      </c>
      <c r="F1388" s="42" t="s">
        <v>71</v>
      </c>
      <c r="G1388" s="58" t="s">
        <v>72</v>
      </c>
      <c r="H1388" s="22">
        <f>75+75</f>
        <v>150</v>
      </c>
      <c r="I1388" s="68">
        <f>Table1[[#This Row],[Total Weight Imported (lbs)]]*0.453592</f>
        <v>68.038799999999995</v>
      </c>
      <c r="J1388" s="55">
        <f>2625+2625</f>
        <v>5250</v>
      </c>
      <c r="K1388" s="62"/>
    </row>
    <row r="1389" spans="1:11" ht="15.75" customHeight="1">
      <c r="A1389" s="20" t="s">
        <v>149</v>
      </c>
      <c r="B1389" s="20" t="s">
        <v>14</v>
      </c>
      <c r="C1389" s="20" t="s">
        <v>14</v>
      </c>
      <c r="D1389" s="20" t="str">
        <f>VLOOKUP(Table1[[#This Row],[Point of Origin]],Table2[#All],2,0)</f>
        <v>USA</v>
      </c>
      <c r="E1389" s="20" t="str">
        <f>VLOOKUP(Table1[[#This Row],[Point of Origin]],Table2[#All],3,0)</f>
        <v>Domestic</v>
      </c>
      <c r="F1389" s="56" t="s">
        <v>157</v>
      </c>
      <c r="G1389" s="58" t="s">
        <v>127</v>
      </c>
      <c r="H1389" s="22">
        <f>112+56</f>
        <v>168</v>
      </c>
      <c r="I1389" s="68">
        <f>Table1[[#This Row],[Total Weight Imported (lbs)]]*0.453592</f>
        <v>76.203456000000003</v>
      </c>
      <c r="J1389" s="55">
        <f>1904+952</f>
        <v>2856</v>
      </c>
      <c r="K1389" s="62"/>
    </row>
    <row r="1390" spans="1:11" ht="15.75" customHeight="1">
      <c r="A1390" s="20" t="s">
        <v>149</v>
      </c>
      <c r="B1390" s="20" t="s">
        <v>14</v>
      </c>
      <c r="C1390" s="20" t="s">
        <v>14</v>
      </c>
      <c r="D1390" s="20" t="str">
        <f>VLOOKUP(Table1[[#This Row],[Point of Origin]],Table2[#All],2,0)</f>
        <v>USA</v>
      </c>
      <c r="E1390" s="20" t="str">
        <f>VLOOKUP(Table1[[#This Row],[Point of Origin]],Table2[#All],3,0)</f>
        <v>Domestic</v>
      </c>
      <c r="F1390" s="56" t="s">
        <v>158</v>
      </c>
      <c r="G1390" s="58" t="s">
        <v>127</v>
      </c>
      <c r="H1390" s="22">
        <f>70+70</f>
        <v>140</v>
      </c>
      <c r="I1390" s="68">
        <f>Table1[[#This Row],[Total Weight Imported (lbs)]]*0.453592</f>
        <v>63.502879999999998</v>
      </c>
      <c r="J1390" s="55">
        <f>1190+1190</f>
        <v>2380</v>
      </c>
      <c r="K1390" s="62"/>
    </row>
    <row r="1391" spans="1:11" ht="15.75" customHeight="1">
      <c r="A1391" s="20" t="s">
        <v>149</v>
      </c>
      <c r="B1391" s="20" t="s">
        <v>46</v>
      </c>
      <c r="C1391" s="20" t="s">
        <v>46</v>
      </c>
      <c r="D1391" s="20" t="str">
        <f>VLOOKUP(Table1[[#This Row],[Point of Origin]],Table2[#All],2,0)</f>
        <v>Mexico</v>
      </c>
      <c r="E1391" s="20" t="str">
        <f>VLOOKUP(Table1[[#This Row],[Point of Origin]],Table2[#All],3,0)</f>
        <v>International</v>
      </c>
      <c r="F1391" s="56" t="s">
        <v>161</v>
      </c>
      <c r="G1391" s="58" t="s">
        <v>162</v>
      </c>
      <c r="H1391" s="22">
        <f>28</f>
        <v>28</v>
      </c>
      <c r="I1391" s="68">
        <f>Table1[[#This Row],[Total Weight Imported (lbs)]]*0.453592</f>
        <v>12.700576</v>
      </c>
      <c r="J1391" s="55">
        <f>840</f>
        <v>840</v>
      </c>
      <c r="K1391" s="61"/>
    </row>
    <row r="1392" spans="1:11" ht="15.75" customHeight="1">
      <c r="A1392" s="20" t="s">
        <v>149</v>
      </c>
      <c r="B1392" s="20" t="s">
        <v>245</v>
      </c>
      <c r="C1392" s="20" t="s">
        <v>245</v>
      </c>
      <c r="D1392" s="20" t="str">
        <f>VLOOKUP(Table1[[#This Row],[Point of Origin]],Table2[#All],2,0)</f>
        <v>Costa Rica</v>
      </c>
      <c r="E1392" s="20" t="str">
        <f>VLOOKUP(Table1[[#This Row],[Point of Origin]],Table2[#All],3,0)</f>
        <v>International</v>
      </c>
      <c r="F1392" s="42" t="s">
        <v>159</v>
      </c>
      <c r="G1392" s="58" t="s">
        <v>160</v>
      </c>
      <c r="H1392" s="22">
        <f>75</f>
        <v>75</v>
      </c>
      <c r="I1392" s="68">
        <f>Table1[[#This Row],[Total Weight Imported (lbs)]]*0.453592</f>
        <v>34.019399999999997</v>
      </c>
      <c r="J1392" s="55">
        <f>1350</f>
        <v>1350</v>
      </c>
      <c r="K1392" s="63"/>
    </row>
    <row r="1393" spans="1:11" ht="15.75" customHeight="1">
      <c r="A1393" s="20" t="s">
        <v>149</v>
      </c>
      <c r="B1393" s="20" t="s">
        <v>46</v>
      </c>
      <c r="C1393" s="20" t="s">
        <v>46</v>
      </c>
      <c r="D1393" s="20" t="str">
        <f>VLOOKUP(Table1[[#This Row],[Point of Origin]],Table2[#All],2,0)</f>
        <v>Mexico</v>
      </c>
      <c r="E1393" s="20" t="str">
        <f>VLOOKUP(Table1[[#This Row],[Point of Origin]],Table2[#All],3,0)</f>
        <v>International</v>
      </c>
      <c r="F1393" s="42" t="s">
        <v>61</v>
      </c>
      <c r="G1393" s="58" t="s">
        <v>62</v>
      </c>
      <c r="H1393" s="22">
        <f>112</f>
        <v>112</v>
      </c>
      <c r="I1393" s="68">
        <f>Table1[[#This Row],[Total Weight Imported (lbs)]]*0.453592</f>
        <v>50.802303999999999</v>
      </c>
      <c r="J1393" s="55">
        <f>2576</f>
        <v>2576</v>
      </c>
      <c r="K1393" s="61"/>
    </row>
    <row r="1394" spans="1:11" ht="15.75" customHeight="1">
      <c r="A1394" s="20" t="s">
        <v>149</v>
      </c>
      <c r="B1394" s="20" t="s">
        <v>46</v>
      </c>
      <c r="C1394" s="20" t="s">
        <v>46</v>
      </c>
      <c r="D1394" s="20" t="str">
        <f>VLOOKUP(Table1[[#This Row],[Point of Origin]],Table2[#All],2,0)</f>
        <v>Mexico</v>
      </c>
      <c r="E1394" s="20" t="str">
        <f>VLOOKUP(Table1[[#This Row],[Point of Origin]],Table2[#All],3,0)</f>
        <v>International</v>
      </c>
      <c r="F1394" s="42" t="s">
        <v>61</v>
      </c>
      <c r="G1394" s="58" t="s">
        <v>62</v>
      </c>
      <c r="H1394" s="22">
        <f>56</f>
        <v>56</v>
      </c>
      <c r="I1394" s="68">
        <f>Table1[[#This Row],[Total Weight Imported (lbs)]]*0.453592</f>
        <v>25.401152</v>
      </c>
      <c r="J1394" s="55">
        <f>1512</f>
        <v>1512</v>
      </c>
      <c r="K1394" s="61"/>
    </row>
    <row r="1395" spans="1:11" ht="15.75" customHeight="1">
      <c r="A1395" s="20" t="s">
        <v>149</v>
      </c>
      <c r="B1395" s="20" t="s">
        <v>14</v>
      </c>
      <c r="C1395" s="20" t="s">
        <v>14</v>
      </c>
      <c r="D1395" s="20" t="str">
        <f>VLOOKUP(Table1[[#This Row],[Point of Origin]],Table2[#All],2,0)</f>
        <v>USA</v>
      </c>
      <c r="E1395" s="20" t="str">
        <f>VLOOKUP(Table1[[#This Row],[Point of Origin]],Table2[#All],3,0)</f>
        <v>Domestic</v>
      </c>
      <c r="F1395" s="42" t="s">
        <v>19</v>
      </c>
      <c r="G1395" s="58" t="s">
        <v>20</v>
      </c>
      <c r="H1395" s="22">
        <f>112</f>
        <v>112</v>
      </c>
      <c r="I1395" s="68">
        <f>Table1[[#This Row],[Total Weight Imported (lbs)]]*0.453592</f>
        <v>50.802303999999999</v>
      </c>
      <c r="J1395" s="55">
        <f>2688</f>
        <v>2688</v>
      </c>
      <c r="K1395" s="61"/>
    </row>
    <row r="1396" spans="1:11" ht="15.75" customHeight="1">
      <c r="A1396" s="20" t="s">
        <v>149</v>
      </c>
      <c r="B1396" s="20" t="s">
        <v>14</v>
      </c>
      <c r="C1396" s="20" t="s">
        <v>14</v>
      </c>
      <c r="D1396" s="20" t="str">
        <f>VLOOKUP(Table1[[#This Row],[Point of Origin]],Table2[#All],2,0)</f>
        <v>USA</v>
      </c>
      <c r="E1396" s="20" t="str">
        <f>VLOOKUP(Table1[[#This Row],[Point of Origin]],Table2[#All],3,0)</f>
        <v>Domestic</v>
      </c>
      <c r="F1396" s="56" t="s">
        <v>148</v>
      </c>
      <c r="G1396" s="58" t="s">
        <v>20</v>
      </c>
      <c r="H1396" s="22">
        <f>30</f>
        <v>30</v>
      </c>
      <c r="I1396" s="68">
        <f>Table1[[#This Row],[Total Weight Imported (lbs)]]*0.453592</f>
        <v>13.607759999999999</v>
      </c>
      <c r="J1396" s="55">
        <f>1890</f>
        <v>1890</v>
      </c>
      <c r="K1396" s="63"/>
    </row>
    <row r="1397" spans="1:11" ht="15.75" customHeight="1">
      <c r="A1397" s="20" t="s">
        <v>149</v>
      </c>
      <c r="B1397" s="20" t="s">
        <v>14</v>
      </c>
      <c r="C1397" s="20" t="s">
        <v>14</v>
      </c>
      <c r="D1397" s="20" t="str">
        <f>VLOOKUP(Table1[[#This Row],[Point of Origin]],Table2[#All],2,0)</f>
        <v>USA</v>
      </c>
      <c r="E1397" s="20" t="str">
        <f>VLOOKUP(Table1[[#This Row],[Point of Origin]],Table2[#All],3,0)</f>
        <v>Domestic</v>
      </c>
      <c r="F1397" s="42" t="s">
        <v>82</v>
      </c>
      <c r="G1397" s="58" t="s">
        <v>20</v>
      </c>
      <c r="H1397" s="22">
        <f>50</f>
        <v>50</v>
      </c>
      <c r="I1397" s="68">
        <f>Table1[[#This Row],[Total Weight Imported (lbs)]]*0.453592</f>
        <v>22.679600000000001</v>
      </c>
      <c r="J1397" s="55">
        <f>2152.5</f>
        <v>2152.5</v>
      </c>
      <c r="K1397" s="63"/>
    </row>
    <row r="1398" spans="1:11" ht="15.75" customHeight="1">
      <c r="A1398" s="20" t="s">
        <v>149</v>
      </c>
      <c r="B1398" s="46" t="s">
        <v>14</v>
      </c>
      <c r="C1398" s="46" t="s">
        <v>14</v>
      </c>
      <c r="D1398" s="46" t="str">
        <f>VLOOKUP(Table1[[#This Row],[Point of Origin]],Table2[#All],2,0)</f>
        <v>USA</v>
      </c>
      <c r="E1398" s="46" t="str">
        <f>VLOOKUP(Table1[[#This Row],[Point of Origin]],Table2[#All],3,0)</f>
        <v>Domestic</v>
      </c>
      <c r="F1398" s="47" t="s">
        <v>56</v>
      </c>
      <c r="G1398" s="58" t="s">
        <v>57</v>
      </c>
      <c r="H1398" s="22">
        <f>32</f>
        <v>32</v>
      </c>
      <c r="I1398" s="68">
        <f>Table1[[#This Row],[Total Weight Imported (lbs)]]*0.453592</f>
        <v>14.514944</v>
      </c>
      <c r="J1398" s="55">
        <f>512</f>
        <v>512</v>
      </c>
      <c r="K1398" s="61"/>
    </row>
    <row r="1399" spans="1:11" ht="15.75" customHeight="1">
      <c r="A1399" s="20" t="s">
        <v>149</v>
      </c>
      <c r="B1399" s="46" t="s">
        <v>14</v>
      </c>
      <c r="C1399" s="46" t="s">
        <v>14</v>
      </c>
      <c r="D1399" s="46" t="str">
        <f>VLOOKUP(Table1[[#This Row],[Point of Origin]],Table2[#All],2,0)</f>
        <v>USA</v>
      </c>
      <c r="E1399" s="46" t="str">
        <f>VLOOKUP(Table1[[#This Row],[Point of Origin]],Table2[#All],3,0)</f>
        <v>Domestic</v>
      </c>
      <c r="F1399" s="46" t="s">
        <v>59</v>
      </c>
      <c r="G1399" s="58" t="s">
        <v>60</v>
      </c>
      <c r="H1399" s="22">
        <f>70</f>
        <v>70</v>
      </c>
      <c r="I1399" s="68">
        <f>Table1[[#This Row],[Total Weight Imported (lbs)]]*0.453592</f>
        <v>31.751439999999999</v>
      </c>
      <c r="J1399" s="55">
        <f>1190</f>
        <v>1190</v>
      </c>
      <c r="K1399" s="61"/>
    </row>
    <row r="1400" spans="1:11" ht="15.75" customHeight="1">
      <c r="A1400" s="20" t="s">
        <v>149</v>
      </c>
      <c r="B1400" s="46" t="s">
        <v>46</v>
      </c>
      <c r="C1400" s="46" t="s">
        <v>46</v>
      </c>
      <c r="D1400" s="46" t="str">
        <f>VLOOKUP(Table1[[#This Row],[Point of Origin]],Table2[#All],2,0)</f>
        <v>Mexico</v>
      </c>
      <c r="E1400" s="46" t="str">
        <f>VLOOKUP(Table1[[#This Row],[Point of Origin]],Table2[#All],3,0)</f>
        <v>International</v>
      </c>
      <c r="F1400" s="46" t="s">
        <v>38</v>
      </c>
      <c r="G1400" s="58" t="s">
        <v>39</v>
      </c>
      <c r="H1400" s="22">
        <f>88</f>
        <v>88</v>
      </c>
      <c r="I1400" s="68">
        <f>Table1[[#This Row],[Total Weight Imported (lbs)]]*0.453592</f>
        <v>39.916095999999996</v>
      </c>
      <c r="J1400" s="55">
        <f>1760</f>
        <v>1760</v>
      </c>
      <c r="K1400" s="63"/>
    </row>
    <row r="1401" spans="1:11" ht="15.75" customHeight="1">
      <c r="A1401" s="28" t="s">
        <v>284</v>
      </c>
      <c r="B1401" s="64" t="s">
        <v>14</v>
      </c>
      <c r="C1401" s="64" t="s">
        <v>14</v>
      </c>
      <c r="D1401" s="64" t="str">
        <f>VLOOKUP(Table1[[#This Row],[Point of Origin]],Table2[#All],2,0)</f>
        <v>USA</v>
      </c>
      <c r="E1401" s="64" t="str">
        <f>VLOOKUP(Table1[[#This Row],[Point of Origin]],Table2[#All],3,0)</f>
        <v>Domestic</v>
      </c>
      <c r="F1401" s="64" t="s">
        <v>71</v>
      </c>
      <c r="G1401" s="58" t="s">
        <v>72</v>
      </c>
      <c r="H1401" s="22">
        <f>100+100</f>
        <v>200</v>
      </c>
      <c r="I1401" s="68">
        <f>Table1[[#This Row],[Total Weight Imported (lbs)]]*0.453592</f>
        <v>90.718400000000003</v>
      </c>
      <c r="J1401" s="55">
        <f>3800+3400</f>
        <v>7200</v>
      </c>
      <c r="K1401" s="61"/>
    </row>
    <row r="1402" spans="1:11" ht="15.75" customHeight="1">
      <c r="A1402" s="28" t="s">
        <v>284</v>
      </c>
      <c r="B1402" s="64" t="s">
        <v>14</v>
      </c>
      <c r="C1402" s="64" t="s">
        <v>14</v>
      </c>
      <c r="D1402" s="64" t="str">
        <f>VLOOKUP(Table1[[#This Row],[Point of Origin]],Table2[#All],2,0)</f>
        <v>USA</v>
      </c>
      <c r="E1402" s="64" t="str">
        <f>VLOOKUP(Table1[[#This Row],[Point of Origin]],Table2[#All],3,0)</f>
        <v>Domestic</v>
      </c>
      <c r="F1402" s="65" t="s">
        <v>137</v>
      </c>
      <c r="G1402" s="58" t="s">
        <v>138</v>
      </c>
      <c r="H1402" s="22">
        <f>108</f>
        <v>108</v>
      </c>
      <c r="I1402" s="68">
        <f>Table1[[#This Row],[Total Weight Imported (lbs)]]*0.453592</f>
        <v>48.987935999999998</v>
      </c>
      <c r="J1402" s="55">
        <f>2970</f>
        <v>2970</v>
      </c>
      <c r="K1402" s="63"/>
    </row>
    <row r="1403" spans="1:11" ht="15.75" customHeight="1">
      <c r="A1403" s="28" t="s">
        <v>284</v>
      </c>
      <c r="B1403" s="64" t="s">
        <v>14</v>
      </c>
      <c r="C1403" s="64" t="s">
        <v>14</v>
      </c>
      <c r="D1403" s="64" t="str">
        <f>VLOOKUP(Table1[[#This Row],[Point of Origin]],Table2[#All],2,0)</f>
        <v>USA</v>
      </c>
      <c r="E1403" s="64" t="str">
        <f>VLOOKUP(Table1[[#This Row],[Point of Origin]],Table2[#All],3,0)</f>
        <v>Domestic</v>
      </c>
      <c r="F1403" s="65" t="s">
        <v>157</v>
      </c>
      <c r="G1403" s="58" t="s">
        <v>127</v>
      </c>
      <c r="H1403" s="22">
        <f>112+112</f>
        <v>224</v>
      </c>
      <c r="I1403" s="68">
        <f>Table1[[#This Row],[Total Weight Imported (lbs)]]*0.453592</f>
        <v>101.604608</v>
      </c>
      <c r="J1403" s="55">
        <f>1904+1904</f>
        <v>3808</v>
      </c>
      <c r="K1403" s="61"/>
    </row>
    <row r="1404" spans="1:11" ht="15.75" customHeight="1">
      <c r="A1404" s="28" t="s">
        <v>284</v>
      </c>
      <c r="B1404" s="64" t="s">
        <v>46</v>
      </c>
      <c r="C1404" s="64" t="s">
        <v>46</v>
      </c>
      <c r="D1404" s="64" t="str">
        <f>VLOOKUP(Table1[[#This Row],[Point of Origin]],Table2[#All],2,0)</f>
        <v>Mexico</v>
      </c>
      <c r="E1404" s="64" t="str">
        <f>VLOOKUP(Table1[[#This Row],[Point of Origin]],Table2[#All],3,0)</f>
        <v>International</v>
      </c>
      <c r="F1404" s="65" t="s">
        <v>161</v>
      </c>
      <c r="G1404" s="58" t="s">
        <v>162</v>
      </c>
      <c r="H1404" s="22">
        <f>28</f>
        <v>28</v>
      </c>
      <c r="I1404" s="68">
        <f>Table1[[#This Row],[Total Weight Imported (lbs)]]*0.453592</f>
        <v>12.700576</v>
      </c>
      <c r="J1404" s="55">
        <f>840</f>
        <v>840</v>
      </c>
      <c r="K1404" s="61"/>
    </row>
    <row r="1405" spans="1:11" ht="15.75" customHeight="1">
      <c r="A1405" s="28" t="s">
        <v>284</v>
      </c>
      <c r="B1405" s="64" t="s">
        <v>14</v>
      </c>
      <c r="C1405" s="64" t="s">
        <v>14</v>
      </c>
      <c r="D1405" s="64" t="str">
        <f>VLOOKUP(Table1[[#This Row],[Point of Origin]],Table2[#All],2,0)</f>
        <v>USA</v>
      </c>
      <c r="E1405" s="64" t="str">
        <f>VLOOKUP(Table1[[#This Row],[Point of Origin]],Table2[#All],3,0)</f>
        <v>Domestic</v>
      </c>
      <c r="F1405" s="64" t="s">
        <v>61</v>
      </c>
      <c r="G1405" s="58" t="s">
        <v>62</v>
      </c>
      <c r="H1405" s="22">
        <f>14+91</f>
        <v>105</v>
      </c>
      <c r="I1405" s="68">
        <f>Table1[[#This Row],[Total Weight Imported (lbs)]]*0.453592</f>
        <v>47.627159999999996</v>
      </c>
      <c r="J1405" s="55">
        <f>406+2548</f>
        <v>2954</v>
      </c>
      <c r="K1405" s="61"/>
    </row>
    <row r="1406" spans="1:11" ht="15.75" customHeight="1">
      <c r="A1406" s="28" t="s">
        <v>284</v>
      </c>
      <c r="B1406" s="64" t="s">
        <v>46</v>
      </c>
      <c r="C1406" s="64" t="s">
        <v>46</v>
      </c>
      <c r="D1406" s="64" t="str">
        <f>VLOOKUP(Table1[[#This Row],[Point of Origin]],Table2[#All],2,0)</f>
        <v>Mexico</v>
      </c>
      <c r="E1406" s="64" t="str">
        <f>VLOOKUP(Table1[[#This Row],[Point of Origin]],Table2[#All],3,0)</f>
        <v>International</v>
      </c>
      <c r="F1406" s="64" t="s">
        <v>61</v>
      </c>
      <c r="G1406" s="58" t="s">
        <v>62</v>
      </c>
      <c r="H1406" s="22">
        <f>60</f>
        <v>60</v>
      </c>
      <c r="I1406" s="68">
        <f>Table1[[#This Row],[Total Weight Imported (lbs)]]*0.453592</f>
        <v>27.215519999999998</v>
      </c>
      <c r="J1406" s="55">
        <f>1020</f>
        <v>1020</v>
      </c>
      <c r="K1406" s="61"/>
    </row>
    <row r="1407" spans="1:11" ht="15.75" customHeight="1">
      <c r="A1407" s="28" t="s">
        <v>284</v>
      </c>
      <c r="B1407" s="64" t="s">
        <v>46</v>
      </c>
      <c r="C1407" s="64" t="s">
        <v>46</v>
      </c>
      <c r="D1407" s="64" t="str">
        <f>VLOOKUP(Table1[[#This Row],[Point of Origin]],Table2[#All],2,0)</f>
        <v>Mexico</v>
      </c>
      <c r="E1407" s="64" t="str">
        <f>VLOOKUP(Table1[[#This Row],[Point of Origin]],Table2[#All],3,0)</f>
        <v>International</v>
      </c>
      <c r="F1407" s="64" t="s">
        <v>61</v>
      </c>
      <c r="G1407" s="58" t="s">
        <v>62</v>
      </c>
      <c r="H1407" s="22">
        <f>50</f>
        <v>50</v>
      </c>
      <c r="I1407" s="68">
        <f>Table1[[#This Row],[Total Weight Imported (lbs)]]*0.453592</f>
        <v>22.679600000000001</v>
      </c>
      <c r="J1407" s="55">
        <f>1500</f>
        <v>1500</v>
      </c>
      <c r="K1407" s="61"/>
    </row>
    <row r="1408" spans="1:11" ht="15.75" customHeight="1">
      <c r="A1408" s="28" t="s">
        <v>284</v>
      </c>
      <c r="B1408" s="64" t="s">
        <v>285</v>
      </c>
      <c r="C1408" s="64" t="s">
        <v>285</v>
      </c>
      <c r="D1408" s="64" t="str">
        <f>VLOOKUP(Table1[[#This Row],[Point of Origin]],Table2[#All],2,0)</f>
        <v>Neatherlands</v>
      </c>
      <c r="E1408" s="64" t="str">
        <f>VLOOKUP(Table1[[#This Row],[Point of Origin]],Table2[#All],3,0)</f>
        <v>International</v>
      </c>
      <c r="F1408" s="64" t="s">
        <v>61</v>
      </c>
      <c r="G1408" s="58" t="s">
        <v>62</v>
      </c>
      <c r="H1408" s="22">
        <f>90</f>
        <v>90</v>
      </c>
      <c r="I1408" s="68">
        <f>Table1[[#This Row],[Total Weight Imported (lbs)]]*0.453592</f>
        <v>40.823279999999997</v>
      </c>
      <c r="J1408" s="55">
        <f>2340</f>
        <v>2340</v>
      </c>
      <c r="K1408" s="61"/>
    </row>
    <row r="1409" spans="1:32" ht="15.75" customHeight="1">
      <c r="A1409" s="28" t="s">
        <v>284</v>
      </c>
      <c r="B1409" s="64" t="s">
        <v>14</v>
      </c>
      <c r="C1409" s="64" t="s">
        <v>14</v>
      </c>
      <c r="D1409" s="64" t="str">
        <f>VLOOKUP(Table1[[#This Row],[Point of Origin]],Table2[#All],2,0)</f>
        <v>USA</v>
      </c>
      <c r="E1409" s="64" t="str">
        <f>VLOOKUP(Table1[[#This Row],[Point of Origin]],Table2[#All],3,0)</f>
        <v>Domestic</v>
      </c>
      <c r="F1409" s="65" t="s">
        <v>148</v>
      </c>
      <c r="G1409" s="58" t="s">
        <v>20</v>
      </c>
      <c r="H1409" s="22">
        <f>42</f>
        <v>42</v>
      </c>
      <c r="I1409" s="68">
        <f>Table1[[#This Row],[Total Weight Imported (lbs)]]*0.453592</f>
        <v>19.050864000000001</v>
      </c>
      <c r="J1409" s="55">
        <f>1260</f>
        <v>1260</v>
      </c>
      <c r="K1409" s="52"/>
    </row>
    <row r="1410" spans="1:32" ht="15.75" customHeight="1">
      <c r="A1410" s="28" t="s">
        <v>284</v>
      </c>
      <c r="B1410" s="64" t="s">
        <v>14</v>
      </c>
      <c r="C1410" s="64" t="s">
        <v>14</v>
      </c>
      <c r="D1410" s="64" t="str">
        <f>VLOOKUP(Table1[[#This Row],[Point of Origin]],Table2[#All],2,0)</f>
        <v>USA</v>
      </c>
      <c r="E1410" s="64" t="str">
        <f>VLOOKUP(Table1[[#This Row],[Point of Origin]],Table2[#All],3,0)</f>
        <v>Domestic</v>
      </c>
      <c r="F1410" s="64" t="s">
        <v>82</v>
      </c>
      <c r="G1410" s="58" t="s">
        <v>20</v>
      </c>
      <c r="H1410" s="22">
        <f>30</f>
        <v>30</v>
      </c>
      <c r="I1410" s="68">
        <f>Table1[[#This Row],[Total Weight Imported (lbs)]]*0.453592</f>
        <v>13.607759999999999</v>
      </c>
      <c r="J1410" s="55">
        <f>1076.25</f>
        <v>1076.25</v>
      </c>
      <c r="K1410" s="52"/>
    </row>
    <row r="1411" spans="1:32" ht="15.75" customHeight="1">
      <c r="A1411" s="28" t="s">
        <v>284</v>
      </c>
      <c r="B1411" s="64" t="s">
        <v>14</v>
      </c>
      <c r="C1411" s="64" t="s">
        <v>14</v>
      </c>
      <c r="D1411" s="69" t="str">
        <f>VLOOKUP(Table1[[#This Row],[Point of Origin]],Table2[#All],2,0)</f>
        <v>USA</v>
      </c>
      <c r="E1411" s="69" t="str">
        <f>VLOOKUP(Table1[[#This Row],[Point of Origin]],Table2[#All],3,0)</f>
        <v>Domestic</v>
      </c>
      <c r="F1411" s="66" t="s">
        <v>40</v>
      </c>
      <c r="G1411" s="67" t="s">
        <v>41</v>
      </c>
      <c r="H1411" s="68">
        <f>42</f>
        <v>42</v>
      </c>
      <c r="I1411" s="68">
        <f>Table1[[#This Row],[Total Weight Imported (lbs)]]*0.453592</f>
        <v>19.050864000000001</v>
      </c>
      <c r="J1411" s="55">
        <v>1260</v>
      </c>
      <c r="K1411" s="41"/>
    </row>
    <row r="1412" spans="1:32" ht="15.75" customHeight="1">
      <c r="A1412" s="69" t="s">
        <v>284</v>
      </c>
      <c r="B1412" s="64" t="s">
        <v>14</v>
      </c>
      <c r="C1412" s="64" t="s">
        <v>14</v>
      </c>
      <c r="D1412" s="69" t="str">
        <f>VLOOKUP(Table1[[#This Row],[Point of Origin]],Table2[#All],2,0)</f>
        <v>USA</v>
      </c>
      <c r="E1412" s="69" t="str">
        <f>VLOOKUP(Table1[[#This Row],[Point of Origin]],Table2[#All],3,0)</f>
        <v>Domestic</v>
      </c>
      <c r="F1412" s="70" t="s">
        <v>56</v>
      </c>
      <c r="G1412" s="67" t="s">
        <v>57</v>
      </c>
      <c r="H1412" s="22">
        <f>32</f>
        <v>32</v>
      </c>
      <c r="I1412" s="22">
        <f>Table1[[#This Row],[Total Weight Imported (lbs)]]*0.453592</f>
        <v>14.514944</v>
      </c>
      <c r="J1412" s="23">
        <f>512</f>
        <v>512</v>
      </c>
      <c r="K1412" s="41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</row>
    <row r="1413" spans="1:32" ht="15.75" customHeight="1">
      <c r="A1413" s="69" t="s">
        <v>284</v>
      </c>
      <c r="B1413" s="64" t="s">
        <v>14</v>
      </c>
      <c r="C1413" s="64" t="s">
        <v>14</v>
      </c>
      <c r="D1413" s="64" t="str">
        <f>VLOOKUP(Table1[[#This Row],[Point of Origin]],Table2[#All],2,0)</f>
        <v>USA</v>
      </c>
      <c r="E1413" s="64" t="str">
        <f>VLOOKUP(Table1[[#This Row],[Point of Origin]],Table2[#All],3,0)</f>
        <v>Domestic</v>
      </c>
      <c r="F1413" s="65" t="s">
        <v>135</v>
      </c>
      <c r="G1413" s="58" t="s">
        <v>136</v>
      </c>
      <c r="H1413" s="22">
        <f>108</f>
        <v>108</v>
      </c>
      <c r="I1413" s="68">
        <f>Table1[[#This Row],[Total Weight Imported (lbs)]]*0.453592</f>
        <v>48.987935999999998</v>
      </c>
      <c r="J1413" s="55">
        <f>2910.6</f>
        <v>2910.6</v>
      </c>
      <c r="K1413" s="41"/>
    </row>
    <row r="1414" spans="1:32" ht="15.75" customHeight="1">
      <c r="A1414" s="69" t="s">
        <v>284</v>
      </c>
      <c r="B1414" s="64" t="s">
        <v>14</v>
      </c>
      <c r="C1414" s="64" t="s">
        <v>14</v>
      </c>
      <c r="D1414" s="64" t="str">
        <f>VLOOKUP(Table1[[#This Row],[Point of Origin]],Table2[#All],2,0)</f>
        <v>USA</v>
      </c>
      <c r="E1414" s="64" t="str">
        <f>VLOOKUP(Table1[[#This Row],[Point of Origin]],Table2[#All],3,0)</f>
        <v>Domestic</v>
      </c>
      <c r="F1414" s="64" t="s">
        <v>128</v>
      </c>
      <c r="G1414" s="58" t="s">
        <v>129</v>
      </c>
      <c r="H1414" s="22">
        <f>63</f>
        <v>63</v>
      </c>
      <c r="I1414" s="68">
        <f>Table1[[#This Row],[Total Weight Imported (lbs)]]*0.453592</f>
        <v>28.576295999999999</v>
      </c>
      <c r="J1414" s="55">
        <f>3071.25</f>
        <v>3071.25</v>
      </c>
      <c r="K1414" s="41"/>
    </row>
    <row r="1415" spans="1:32" ht="15.75" customHeight="1">
      <c r="A1415" s="46" t="s">
        <v>286</v>
      </c>
      <c r="B1415" s="46" t="s">
        <v>14</v>
      </c>
      <c r="C1415" s="46" t="s">
        <v>14</v>
      </c>
      <c r="D1415" s="46" t="str">
        <f>VLOOKUP(Table1[[#This Row],[Point of Origin]],Table2[#All],2,0)</f>
        <v>USA</v>
      </c>
      <c r="E1415" s="46" t="str">
        <f>VLOOKUP(Table1[[#This Row],[Point of Origin]],Table2[#All],3,0)</f>
        <v>Domestic</v>
      </c>
      <c r="F1415" s="47" t="s">
        <v>137</v>
      </c>
      <c r="G1415" s="58" t="s">
        <v>138</v>
      </c>
      <c r="H1415" s="22">
        <f>54</f>
        <v>54</v>
      </c>
      <c r="I1415" s="68">
        <f>Table1[[#This Row],[Total Weight Imported (lbs)]]*0.453592</f>
        <v>24.493967999999999</v>
      </c>
      <c r="J1415" s="55">
        <f>1593</f>
        <v>1593</v>
      </c>
      <c r="K1415" s="1"/>
    </row>
    <row r="1416" spans="1:32" ht="15.75" customHeight="1">
      <c r="A1416" s="46" t="s">
        <v>286</v>
      </c>
      <c r="B1416" s="46" t="s">
        <v>46</v>
      </c>
      <c r="C1416" s="46" t="s">
        <v>46</v>
      </c>
      <c r="D1416" s="46" t="str">
        <f>VLOOKUP(Table1[[#This Row],[Point of Origin]],Table2[#All],2,0)</f>
        <v>Mexico</v>
      </c>
      <c r="E1416" s="46" t="str">
        <f>VLOOKUP(Table1[[#This Row],[Point of Origin]],Table2[#All],3,0)</f>
        <v>International</v>
      </c>
      <c r="F1416" s="47" t="s">
        <v>161</v>
      </c>
      <c r="G1416" s="58" t="s">
        <v>162</v>
      </c>
      <c r="H1416" s="22">
        <f>28</f>
        <v>28</v>
      </c>
      <c r="I1416" s="68">
        <f>Table1[[#This Row],[Total Weight Imported (lbs)]]*0.453592</f>
        <v>12.700576</v>
      </c>
      <c r="J1416" s="55">
        <f>840</f>
        <v>840</v>
      </c>
      <c r="K1416" s="41"/>
    </row>
    <row r="1417" spans="1:32" ht="15.75" customHeight="1">
      <c r="A1417" s="46" t="s">
        <v>286</v>
      </c>
      <c r="B1417" s="46" t="s">
        <v>14</v>
      </c>
      <c r="C1417" s="46" t="s">
        <v>14</v>
      </c>
      <c r="D1417" s="46" t="str">
        <f>VLOOKUP(Table1[[#This Row],[Point of Origin]],Table2[#All],2,0)</f>
        <v>USA</v>
      </c>
      <c r="E1417" s="46" t="str">
        <f>VLOOKUP(Table1[[#This Row],[Point of Origin]],Table2[#All],3,0)</f>
        <v>Domestic</v>
      </c>
      <c r="F1417" s="46" t="s">
        <v>19</v>
      </c>
      <c r="G1417" s="58" t="s">
        <v>20</v>
      </c>
      <c r="H1417" s="22">
        <f>112</f>
        <v>112</v>
      </c>
      <c r="I1417" s="68">
        <f>Table1[[#This Row],[Total Weight Imported (lbs)]]*0.453592</f>
        <v>50.802303999999999</v>
      </c>
      <c r="J1417" s="55">
        <f>2688</f>
        <v>2688</v>
      </c>
      <c r="K1417" s="50"/>
    </row>
    <row r="1418" spans="1:32" ht="15.75" customHeight="1">
      <c r="A1418" s="46" t="s">
        <v>286</v>
      </c>
      <c r="B1418" s="46" t="s">
        <v>14</v>
      </c>
      <c r="C1418" s="46" t="s">
        <v>14</v>
      </c>
      <c r="D1418" s="46" t="str">
        <f>VLOOKUP(Table1[[#This Row],[Point of Origin]],Table2[#All],2,0)</f>
        <v>USA</v>
      </c>
      <c r="E1418" s="46" t="str">
        <f>VLOOKUP(Table1[[#This Row],[Point of Origin]],Table2[#All],3,0)</f>
        <v>Domestic</v>
      </c>
      <c r="F1418" s="46" t="s">
        <v>21</v>
      </c>
      <c r="G1418" s="58" t="s">
        <v>22</v>
      </c>
      <c r="H1418" s="22">
        <f>10</f>
        <v>10</v>
      </c>
      <c r="I1418" s="68">
        <f>Table1[[#This Row],[Total Weight Imported (lbs)]]*0.453592</f>
        <v>4.53592</v>
      </c>
      <c r="J1418" s="55">
        <f>330</f>
        <v>330</v>
      </c>
      <c r="K1418" s="50"/>
    </row>
    <row r="1419" spans="1:32" ht="15.75" customHeight="1">
      <c r="A1419" s="46" t="s">
        <v>286</v>
      </c>
      <c r="B1419" s="46" t="s">
        <v>14</v>
      </c>
      <c r="C1419" s="46" t="s">
        <v>14</v>
      </c>
      <c r="D1419" s="46" t="str">
        <f>VLOOKUP(Table1[[#This Row],[Point of Origin]],Table2[#All],2,0)</f>
        <v>USA</v>
      </c>
      <c r="E1419" s="46" t="str">
        <f>VLOOKUP(Table1[[#This Row],[Point of Origin]],Table2[#All],3,0)</f>
        <v>Domestic</v>
      </c>
      <c r="F1419" s="47" t="s">
        <v>148</v>
      </c>
      <c r="G1419" s="58" t="s">
        <v>20</v>
      </c>
      <c r="H1419" s="22">
        <f>63</f>
        <v>63</v>
      </c>
      <c r="I1419" s="68">
        <f>Table1[[#This Row],[Total Weight Imported (lbs)]]*0.453592</f>
        <v>28.576295999999999</v>
      </c>
      <c r="J1419" s="55">
        <f>1890</f>
        <v>1890</v>
      </c>
      <c r="K1419" s="53"/>
    </row>
    <row r="1420" spans="1:32" ht="15.75" customHeight="1">
      <c r="A1420" s="46" t="s">
        <v>286</v>
      </c>
      <c r="B1420" s="46" t="s">
        <v>14</v>
      </c>
      <c r="C1420" s="46" t="s">
        <v>14</v>
      </c>
      <c r="D1420" s="46" t="str">
        <f>VLOOKUP(Table1[[#This Row],[Point of Origin]],Table2[#All],2,0)</f>
        <v>USA</v>
      </c>
      <c r="E1420" s="46" t="str">
        <f>VLOOKUP(Table1[[#This Row],[Point of Origin]],Table2[#All],3,0)</f>
        <v>Domestic</v>
      </c>
      <c r="F1420" s="46" t="s">
        <v>82</v>
      </c>
      <c r="G1420" s="58" t="s">
        <v>20</v>
      </c>
      <c r="H1420" s="22">
        <f>60+70+6</f>
        <v>136</v>
      </c>
      <c r="I1420" s="68">
        <f>Table1[[#This Row],[Total Weight Imported (lbs)]]*0.453592</f>
        <v>61.688512000000003</v>
      </c>
      <c r="J1420" s="55">
        <f>2460+2152.5+198</f>
        <v>4810.5</v>
      </c>
      <c r="K1420" s="53"/>
    </row>
    <row r="1421" spans="1:32" ht="15.75" customHeight="1">
      <c r="A1421" s="46" t="s">
        <v>286</v>
      </c>
      <c r="B1421" s="46" t="s">
        <v>14</v>
      </c>
      <c r="C1421" s="46" t="s">
        <v>14</v>
      </c>
      <c r="D1421" s="46" t="str">
        <f>VLOOKUP(Table1[[#This Row],[Point of Origin]],Table2[#All],2,0)</f>
        <v>USA</v>
      </c>
      <c r="E1421" s="46" t="str">
        <f>VLOOKUP(Table1[[#This Row],[Point of Origin]],Table2[#All],3,0)</f>
        <v>Domestic</v>
      </c>
      <c r="F1421" s="47" t="s">
        <v>47</v>
      </c>
      <c r="G1421" s="58" t="s">
        <v>32</v>
      </c>
      <c r="H1421" s="22">
        <f>10</f>
        <v>10</v>
      </c>
      <c r="I1421" s="68">
        <f>Table1[[#This Row],[Total Weight Imported (lbs)]]*0.453592</f>
        <v>4.53592</v>
      </c>
      <c r="J1421" s="55">
        <f>200</f>
        <v>200</v>
      </c>
      <c r="K1421" s="53"/>
    </row>
    <row r="1422" spans="1:32" ht="15.75" customHeight="1">
      <c r="A1422" s="46" t="s">
        <v>286</v>
      </c>
      <c r="B1422" s="46" t="s">
        <v>14</v>
      </c>
      <c r="C1422" s="46" t="s">
        <v>14</v>
      </c>
      <c r="D1422" s="46" t="str">
        <f>VLOOKUP(Table1[[#This Row],[Point of Origin]],Table2[#All],2,0)</f>
        <v>USA</v>
      </c>
      <c r="E1422" s="46" t="str">
        <f>VLOOKUP(Table1[[#This Row],[Point of Origin]],Table2[#All],3,0)</f>
        <v>Domestic</v>
      </c>
      <c r="F1422" s="47" t="s">
        <v>87</v>
      </c>
      <c r="G1422" s="58" t="s">
        <v>20</v>
      </c>
      <c r="H1422" s="22">
        <f>5</f>
        <v>5</v>
      </c>
      <c r="I1422" s="68">
        <f>Table1[[#This Row],[Total Weight Imported (lbs)]]*0.453592</f>
        <v>2.26796</v>
      </c>
      <c r="J1422" s="55">
        <f>99.75</f>
        <v>99.75</v>
      </c>
      <c r="K1422" s="50"/>
    </row>
    <row r="1423" spans="1:32" ht="15.75" customHeight="1">
      <c r="A1423" s="46" t="s">
        <v>286</v>
      </c>
      <c r="B1423" s="46" t="s">
        <v>14</v>
      </c>
      <c r="C1423" s="46" t="s">
        <v>14</v>
      </c>
      <c r="D1423" s="46" t="str">
        <f>VLOOKUP(Table1[[#This Row],[Point of Origin]],Table2[#All],2,0)</f>
        <v>USA</v>
      </c>
      <c r="E1423" s="46" t="str">
        <f>VLOOKUP(Table1[[#This Row],[Point of Origin]],Table2[#All],3,0)</f>
        <v>Domestic</v>
      </c>
      <c r="F1423" s="46" t="s">
        <v>59</v>
      </c>
      <c r="G1423" s="58" t="s">
        <v>60</v>
      </c>
      <c r="H1423" s="22">
        <f>70+21+105+35</f>
        <v>231</v>
      </c>
      <c r="I1423" s="68">
        <f>Table1[[#This Row],[Total Weight Imported (lbs)]]*0.453592</f>
        <v>104.779752</v>
      </c>
      <c r="J1423" s="55">
        <f>1120+336+1785+700</f>
        <v>3941</v>
      </c>
      <c r="K1423" s="50"/>
    </row>
    <row r="1424" spans="1:32" ht="15.75" customHeight="1">
      <c r="A1424" s="46" t="s">
        <v>286</v>
      </c>
      <c r="B1424" s="46" t="s">
        <v>14</v>
      </c>
      <c r="C1424" s="46" t="s">
        <v>14</v>
      </c>
      <c r="D1424" s="46" t="str">
        <f>VLOOKUP(Table1[[#This Row],[Point of Origin]],Table2[#All],2,0)</f>
        <v>USA</v>
      </c>
      <c r="E1424" s="46" t="str">
        <f>VLOOKUP(Table1[[#This Row],[Point of Origin]],Table2[#All],3,0)</f>
        <v>Domestic</v>
      </c>
      <c r="F1424" s="46" t="s">
        <v>58</v>
      </c>
      <c r="G1424" s="58" t="s">
        <v>34</v>
      </c>
      <c r="H1424" s="22">
        <f>3</f>
        <v>3</v>
      </c>
      <c r="I1424" s="68">
        <f>Table1[[#This Row],[Total Weight Imported (lbs)]]*0.453592</f>
        <v>1.360776</v>
      </c>
      <c r="J1424" s="55">
        <f>72</f>
        <v>72</v>
      </c>
      <c r="K1424" s="50"/>
    </row>
    <row r="1425" spans="1:11" ht="15.75" customHeight="1">
      <c r="A1425" s="64" t="s">
        <v>287</v>
      </c>
      <c r="B1425" s="64" t="s">
        <v>14</v>
      </c>
      <c r="C1425" s="64" t="s">
        <v>14</v>
      </c>
      <c r="D1425" s="64" t="str">
        <f>VLOOKUP(Table1[[#This Row],[Point of Origin]],Table2[#All],2,0)</f>
        <v>USA</v>
      </c>
      <c r="E1425" s="64" t="str">
        <f>VLOOKUP(Table1[[#This Row],[Point of Origin]],Table2[#All],3,0)</f>
        <v>Domestic</v>
      </c>
      <c r="F1425" s="65" t="s">
        <v>137</v>
      </c>
      <c r="G1425" s="58" t="s">
        <v>138</v>
      </c>
      <c r="H1425" s="22">
        <f>108</f>
        <v>108</v>
      </c>
      <c r="I1425" s="68">
        <f>Table1[[#This Row],[Total Weight Imported (lbs)]]*0.453592</f>
        <v>48.987935999999998</v>
      </c>
      <c r="J1425" s="55">
        <f>2970</f>
        <v>2970</v>
      </c>
      <c r="K1425" s="53"/>
    </row>
    <row r="1426" spans="1:11" ht="15.75" customHeight="1">
      <c r="A1426" s="64" t="s">
        <v>287</v>
      </c>
      <c r="B1426" s="64" t="s">
        <v>14</v>
      </c>
      <c r="C1426" s="64" t="s">
        <v>14</v>
      </c>
      <c r="D1426" s="64" t="str">
        <f>VLOOKUP(Table1[[#This Row],[Point of Origin]],Table2[#All],2,0)</f>
        <v>USA</v>
      </c>
      <c r="E1426" s="64" t="str">
        <f>VLOOKUP(Table1[[#This Row],[Point of Origin]],Table2[#All],3,0)</f>
        <v>Domestic</v>
      </c>
      <c r="F1426" s="65" t="s">
        <v>157</v>
      </c>
      <c r="G1426" s="58" t="s">
        <v>127</v>
      </c>
      <c r="H1426" s="22">
        <f>56</f>
        <v>56</v>
      </c>
      <c r="I1426" s="68">
        <f>Table1[[#This Row],[Total Weight Imported (lbs)]]*0.453592</f>
        <v>25.401152</v>
      </c>
      <c r="J1426" s="55">
        <f>952</f>
        <v>952</v>
      </c>
      <c r="K1426" s="50"/>
    </row>
    <row r="1427" spans="1:11" ht="15.75" customHeight="1">
      <c r="A1427" s="64" t="s">
        <v>287</v>
      </c>
      <c r="B1427" s="64" t="s">
        <v>46</v>
      </c>
      <c r="C1427" s="64" t="s">
        <v>46</v>
      </c>
      <c r="D1427" s="64" t="str">
        <f>VLOOKUP(Table1[[#This Row],[Point of Origin]],Table2[#All],2,0)</f>
        <v>Mexico</v>
      </c>
      <c r="E1427" s="64" t="str">
        <f>VLOOKUP(Table1[[#This Row],[Point of Origin]],Table2[#All],3,0)</f>
        <v>International</v>
      </c>
      <c r="F1427" s="65" t="s">
        <v>158</v>
      </c>
      <c r="G1427" s="58" t="s">
        <v>127</v>
      </c>
      <c r="H1427" s="22">
        <f>70+70</f>
        <v>140</v>
      </c>
      <c r="I1427" s="68">
        <f>Table1[[#This Row],[Total Weight Imported (lbs)]]*0.453592</f>
        <v>63.502879999999998</v>
      </c>
      <c r="J1427" s="55">
        <f>1050+1050</f>
        <v>2100</v>
      </c>
      <c r="K1427" s="50"/>
    </row>
    <row r="1428" spans="1:11" ht="15.75" customHeight="1">
      <c r="A1428" s="64" t="s">
        <v>287</v>
      </c>
      <c r="B1428" s="64" t="s">
        <v>46</v>
      </c>
      <c r="C1428" s="64" t="s">
        <v>46</v>
      </c>
      <c r="D1428" s="64" t="str">
        <f>VLOOKUP(Table1[[#This Row],[Point of Origin]],Table2[#All],2,0)</f>
        <v>Mexico</v>
      </c>
      <c r="E1428" s="64" t="str">
        <f>VLOOKUP(Table1[[#This Row],[Point of Origin]],Table2[#All],3,0)</f>
        <v>International</v>
      </c>
      <c r="F1428" s="64" t="s">
        <v>161</v>
      </c>
      <c r="G1428" s="58" t="s">
        <v>162</v>
      </c>
      <c r="H1428" s="22">
        <f t="shared" ref="H1428:H1429" si="5">40</f>
        <v>40</v>
      </c>
      <c r="I1428" s="68">
        <f>Table1[[#This Row],[Total Weight Imported (lbs)]]*0.453592</f>
        <v>18.14368</v>
      </c>
      <c r="J1428" s="55">
        <f>1200</f>
        <v>1200</v>
      </c>
      <c r="K1428" s="41"/>
    </row>
    <row r="1429" spans="1:11" ht="15.75" customHeight="1">
      <c r="A1429" s="64" t="s">
        <v>287</v>
      </c>
      <c r="B1429" s="64" t="s">
        <v>245</v>
      </c>
      <c r="C1429" s="64" t="s">
        <v>245</v>
      </c>
      <c r="D1429" s="64" t="str">
        <f>VLOOKUP(Table1[[#This Row],[Point of Origin]],Table2[#All],2,0)</f>
        <v>Costa Rica</v>
      </c>
      <c r="E1429" s="64" t="str">
        <f>VLOOKUP(Table1[[#This Row],[Point of Origin]],Table2[#All],3,0)</f>
        <v>International</v>
      </c>
      <c r="F1429" s="64" t="s">
        <v>159</v>
      </c>
      <c r="G1429" s="58" t="s">
        <v>160</v>
      </c>
      <c r="H1429" s="22">
        <f t="shared" si="5"/>
        <v>40</v>
      </c>
      <c r="I1429" s="68">
        <f>Table1[[#This Row],[Total Weight Imported (lbs)]]*0.453592</f>
        <v>18.14368</v>
      </c>
      <c r="J1429" s="55">
        <f>720</f>
        <v>720</v>
      </c>
      <c r="K1429" s="52"/>
    </row>
    <row r="1430" spans="1:11" ht="15.75" customHeight="1">
      <c r="A1430" s="64" t="s">
        <v>287</v>
      </c>
      <c r="B1430" s="64" t="s">
        <v>14</v>
      </c>
      <c r="C1430" s="64" t="s">
        <v>14</v>
      </c>
      <c r="D1430" s="64" t="str">
        <f>VLOOKUP(Table1[[#This Row],[Point of Origin]],Table2[#All],2,0)</f>
        <v>USA</v>
      </c>
      <c r="E1430" s="64" t="str">
        <f>VLOOKUP(Table1[[#This Row],[Point of Origin]],Table2[#All],3,0)</f>
        <v>Domestic</v>
      </c>
      <c r="F1430" s="64" t="s">
        <v>61</v>
      </c>
      <c r="G1430" s="58" t="s">
        <v>62</v>
      </c>
      <c r="H1430" s="22">
        <f>56+56</f>
        <v>112</v>
      </c>
      <c r="I1430" s="68">
        <f>Table1[[#This Row],[Total Weight Imported (lbs)]]*0.453592</f>
        <v>50.802303999999999</v>
      </c>
      <c r="J1430" s="55">
        <f>1568+1848</f>
        <v>3416</v>
      </c>
      <c r="K1430" s="41"/>
    </row>
    <row r="1431" spans="1:11" ht="15.75" customHeight="1">
      <c r="A1431" s="64" t="s">
        <v>287</v>
      </c>
      <c r="B1431" s="64" t="s">
        <v>14</v>
      </c>
      <c r="C1431" s="64" t="s">
        <v>14</v>
      </c>
      <c r="D1431" s="64" t="str">
        <f>VLOOKUP(Table1[[#This Row],[Point of Origin]],Table2[#All],2,0)</f>
        <v>USA</v>
      </c>
      <c r="E1431" s="64" t="str">
        <f>VLOOKUP(Table1[[#This Row],[Point of Origin]],Table2[#All],3,0)</f>
        <v>Domestic</v>
      </c>
      <c r="F1431" s="64" t="s">
        <v>19</v>
      </c>
      <c r="G1431" s="58" t="s">
        <v>20</v>
      </c>
      <c r="H1431" s="22">
        <f>112</f>
        <v>112</v>
      </c>
      <c r="I1431" s="68">
        <f>Table1[[#This Row],[Total Weight Imported (lbs)]]*0.453592</f>
        <v>50.802303999999999</v>
      </c>
      <c r="J1431" s="55">
        <f>3808</f>
        <v>3808</v>
      </c>
      <c r="K1431" s="41"/>
    </row>
    <row r="1432" spans="1:11" ht="15.75" customHeight="1">
      <c r="A1432" s="64" t="s">
        <v>287</v>
      </c>
      <c r="B1432" s="64" t="s">
        <v>14</v>
      </c>
      <c r="C1432" s="64" t="s">
        <v>14</v>
      </c>
      <c r="D1432" s="64" t="str">
        <f>VLOOKUP(Table1[[#This Row],[Point of Origin]],Table2[#All],2,0)</f>
        <v>USA</v>
      </c>
      <c r="E1432" s="64" t="str">
        <f>VLOOKUP(Table1[[#This Row],[Point of Origin]],Table2[#All],3,0)</f>
        <v>Domestic</v>
      </c>
      <c r="F1432" s="65" t="s">
        <v>148</v>
      </c>
      <c r="G1432" s="58" t="s">
        <v>20</v>
      </c>
      <c r="H1432" s="22">
        <f>42</f>
        <v>42</v>
      </c>
      <c r="I1432" s="68">
        <f>Table1[[#This Row],[Total Weight Imported (lbs)]]*0.453592</f>
        <v>19.050864000000001</v>
      </c>
      <c r="J1432" s="55">
        <f>1260</f>
        <v>1260</v>
      </c>
      <c r="K1432" s="52"/>
    </row>
    <row r="1433" spans="1:11" ht="15.75" customHeight="1">
      <c r="A1433" s="64" t="s">
        <v>287</v>
      </c>
      <c r="B1433" s="64" t="s">
        <v>14</v>
      </c>
      <c r="C1433" s="64" t="s">
        <v>14</v>
      </c>
      <c r="D1433" s="64" t="str">
        <f>VLOOKUP(Table1[[#This Row],[Point of Origin]],Table2[#All],2,0)</f>
        <v>USA</v>
      </c>
      <c r="E1433" s="64" t="str">
        <f>VLOOKUP(Table1[[#This Row],[Point of Origin]],Table2[#All],3,0)</f>
        <v>Domestic</v>
      </c>
      <c r="F1433" s="64" t="s">
        <v>82</v>
      </c>
      <c r="G1433" s="58" t="s">
        <v>20</v>
      </c>
      <c r="H1433" s="22">
        <f>105</f>
        <v>105</v>
      </c>
      <c r="I1433" s="68">
        <f>Table1[[#This Row],[Total Weight Imported (lbs)]]*0.453592</f>
        <v>47.627159999999996</v>
      </c>
      <c r="J1433" s="55">
        <f>3228.75</f>
        <v>3228.75</v>
      </c>
      <c r="K1433" s="52"/>
    </row>
    <row r="1434" spans="1:11" ht="15.75" customHeight="1">
      <c r="A1434" s="64" t="s">
        <v>287</v>
      </c>
      <c r="B1434" s="64" t="s">
        <v>14</v>
      </c>
      <c r="C1434" s="64" t="s">
        <v>14</v>
      </c>
      <c r="D1434" s="64" t="str">
        <f>VLOOKUP(Table1[[#This Row],[Point of Origin]],Table2[#All],2,0)</f>
        <v>USA</v>
      </c>
      <c r="E1434" s="64" t="str">
        <f>VLOOKUP(Table1[[#This Row],[Point of Origin]],Table2[#All],3,0)</f>
        <v>Domestic</v>
      </c>
      <c r="F1434" s="64" t="s">
        <v>40</v>
      </c>
      <c r="G1434" s="58" t="s">
        <v>41</v>
      </c>
      <c r="H1434" s="22">
        <f>42</f>
        <v>42</v>
      </c>
      <c r="I1434" s="68">
        <f>Table1[[#This Row],[Total Weight Imported (lbs)]]*0.453592</f>
        <v>19.050864000000001</v>
      </c>
      <c r="J1434" s="55">
        <f>1260</f>
        <v>1260</v>
      </c>
      <c r="K1434" s="41"/>
    </row>
    <row r="1435" spans="1:11" ht="15.75" customHeight="1">
      <c r="A1435" s="64" t="s">
        <v>287</v>
      </c>
      <c r="B1435" s="64" t="s">
        <v>14</v>
      </c>
      <c r="C1435" s="64" t="s">
        <v>14</v>
      </c>
      <c r="D1435" s="64" t="str">
        <f>VLOOKUP(Table1[[#This Row],[Point of Origin]],Table2[#All],2,0)</f>
        <v>USA</v>
      </c>
      <c r="E1435" s="64" t="str">
        <f>VLOOKUP(Table1[[#This Row],[Point of Origin]],Table2[#All],3,0)</f>
        <v>Domestic</v>
      </c>
      <c r="F1435" s="64" t="s">
        <v>79</v>
      </c>
      <c r="G1435" s="58" t="s">
        <v>80</v>
      </c>
      <c r="H1435" s="22">
        <f>8</f>
        <v>8</v>
      </c>
      <c r="I1435" s="68">
        <f>Table1[[#This Row],[Total Weight Imported (lbs)]]*0.453592</f>
        <v>3.628736</v>
      </c>
      <c r="J1435" s="55">
        <f>224</f>
        <v>224</v>
      </c>
      <c r="K1435" s="52"/>
    </row>
    <row r="1436" spans="1:11" ht="15.75" customHeight="1">
      <c r="A1436" s="64" t="s">
        <v>287</v>
      </c>
      <c r="B1436" s="64" t="s">
        <v>14</v>
      </c>
      <c r="C1436" s="64" t="s">
        <v>14</v>
      </c>
      <c r="D1436" s="64" t="str">
        <f>VLOOKUP(Table1[[#This Row],[Point of Origin]],Table2[#All],2,0)</f>
        <v>USA</v>
      </c>
      <c r="E1436" s="64" t="str">
        <f>VLOOKUP(Table1[[#This Row],[Point of Origin]],Table2[#All],3,0)</f>
        <v>Domestic</v>
      </c>
      <c r="F1436" s="64" t="s">
        <v>56</v>
      </c>
      <c r="G1436" s="58" t="s">
        <v>57</v>
      </c>
      <c r="H1436" s="22">
        <f>32</f>
        <v>32</v>
      </c>
      <c r="I1436" s="68">
        <f>Table1[[#This Row],[Total Weight Imported (lbs)]]*0.453592</f>
        <v>14.514944</v>
      </c>
      <c r="J1436" s="55">
        <f>512</f>
        <v>512</v>
      </c>
      <c r="K1436" s="41"/>
    </row>
    <row r="1437" spans="1:11" ht="15.75" customHeight="1">
      <c r="A1437" s="64" t="s">
        <v>287</v>
      </c>
      <c r="B1437" s="64" t="s">
        <v>14</v>
      </c>
      <c r="C1437" s="64" t="s">
        <v>14</v>
      </c>
      <c r="D1437" s="64" t="str">
        <f>VLOOKUP(Table1[[#This Row],[Point of Origin]],Table2[#All],2,0)</f>
        <v>USA</v>
      </c>
      <c r="E1437" s="64" t="str">
        <f>VLOOKUP(Table1[[#This Row],[Point of Origin]],Table2[#All],3,0)</f>
        <v>Domestic</v>
      </c>
      <c r="F1437" s="64" t="s">
        <v>87</v>
      </c>
      <c r="G1437" s="58" t="s">
        <v>20</v>
      </c>
      <c r="H1437" s="22">
        <f>5</f>
        <v>5</v>
      </c>
      <c r="I1437" s="68">
        <f>Table1[[#This Row],[Total Weight Imported (lbs)]]*0.453592</f>
        <v>2.26796</v>
      </c>
      <c r="J1437" s="55">
        <f>99.75</f>
        <v>99.75</v>
      </c>
      <c r="K1437" s="41"/>
    </row>
    <row r="1438" spans="1:11" ht="15.75" customHeight="1">
      <c r="A1438" s="64" t="s">
        <v>287</v>
      </c>
      <c r="B1438" s="64" t="s">
        <v>14</v>
      </c>
      <c r="C1438" s="64" t="s">
        <v>14</v>
      </c>
      <c r="D1438" s="64" t="str">
        <f>VLOOKUP(Table1[[#This Row],[Point of Origin]],Table2[#All],2,0)</f>
        <v>USA</v>
      </c>
      <c r="E1438" s="64" t="str">
        <f>VLOOKUP(Table1[[#This Row],[Point of Origin]],Table2[#All],3,0)</f>
        <v>Domestic</v>
      </c>
      <c r="F1438" s="64" t="s">
        <v>59</v>
      </c>
      <c r="G1438" s="58" t="s">
        <v>60</v>
      </c>
      <c r="H1438" s="22">
        <f>40</f>
        <v>40</v>
      </c>
      <c r="I1438" s="68">
        <f>Table1[[#This Row],[Total Weight Imported (lbs)]]*0.453592</f>
        <v>18.14368</v>
      </c>
      <c r="J1438" s="55">
        <f>800</f>
        <v>800</v>
      </c>
      <c r="K1438" s="41"/>
    </row>
    <row r="1439" spans="1:11" ht="15.75" customHeight="1">
      <c r="A1439" s="64" t="s">
        <v>287</v>
      </c>
      <c r="B1439" s="64" t="s">
        <v>14</v>
      </c>
      <c r="C1439" s="64" t="s">
        <v>14</v>
      </c>
      <c r="D1439" s="64" t="str">
        <f>VLOOKUP(Table1[[#This Row],[Point of Origin]],Table2[#All],2,0)</f>
        <v>USA</v>
      </c>
      <c r="E1439" s="64" t="str">
        <f>VLOOKUP(Table1[[#This Row],[Point of Origin]],Table2[#All],3,0)</f>
        <v>Domestic</v>
      </c>
      <c r="F1439" s="65" t="s">
        <v>58</v>
      </c>
      <c r="G1439" s="58" t="s">
        <v>34</v>
      </c>
      <c r="H1439" s="22">
        <f>3</f>
        <v>3</v>
      </c>
      <c r="I1439" s="68">
        <f>Table1[[#This Row],[Total Weight Imported (lbs)]]*0.453592</f>
        <v>1.360776</v>
      </c>
      <c r="J1439" s="55">
        <f>72</f>
        <v>72</v>
      </c>
      <c r="K1439" s="52"/>
    </row>
    <row r="1440" spans="1:11" ht="15.75" customHeight="1">
      <c r="A1440" s="42" t="s">
        <v>288</v>
      </c>
      <c r="B1440" s="46" t="s">
        <v>14</v>
      </c>
      <c r="C1440" s="46" t="s">
        <v>14</v>
      </c>
      <c r="D1440" s="46" t="str">
        <f>VLOOKUP(Table1[[#This Row],[Point of Origin]],Table2[#All],2,0)</f>
        <v>USA</v>
      </c>
      <c r="E1440" s="46" t="str">
        <f>VLOOKUP(Table1[[#This Row],[Point of Origin]],Table2[#All],3,0)</f>
        <v>Domestic</v>
      </c>
      <c r="F1440" s="46" t="s">
        <v>19</v>
      </c>
      <c r="G1440" s="58" t="s">
        <v>20</v>
      </c>
      <c r="H1440" s="22">
        <f>112</f>
        <v>112</v>
      </c>
      <c r="I1440" s="68">
        <f>Table1[[#This Row],[Total Weight Imported (lbs)]]*0.453592</f>
        <v>50.802303999999999</v>
      </c>
      <c r="J1440" s="55">
        <f>3808</f>
        <v>3808</v>
      </c>
      <c r="K1440" s="41"/>
    </row>
    <row r="1441" spans="1:11" ht="15.75" customHeight="1">
      <c r="A1441" s="42" t="s">
        <v>288</v>
      </c>
      <c r="B1441" s="46" t="s">
        <v>14</v>
      </c>
      <c r="C1441" s="46" t="s">
        <v>14</v>
      </c>
      <c r="D1441" s="46" t="str">
        <f>VLOOKUP(Table1[[#This Row],[Point of Origin]],Table2[#All],2,0)</f>
        <v>USA</v>
      </c>
      <c r="E1441" s="46" t="str">
        <f>VLOOKUP(Table1[[#This Row],[Point of Origin]],Table2[#All],3,0)</f>
        <v>Domestic</v>
      </c>
      <c r="F1441" s="47" t="s">
        <v>148</v>
      </c>
      <c r="G1441" s="58" t="s">
        <v>20</v>
      </c>
      <c r="H1441" s="22">
        <f>70</f>
        <v>70</v>
      </c>
      <c r="I1441" s="68">
        <f>Table1[[#This Row],[Total Weight Imported (lbs)]]*0.453592</f>
        <v>31.751439999999999</v>
      </c>
      <c r="J1441" s="55">
        <f>2100</f>
        <v>2100</v>
      </c>
      <c r="K1441" s="52"/>
    </row>
    <row r="1442" spans="1:11" ht="15.75" customHeight="1">
      <c r="A1442" s="42" t="s">
        <v>288</v>
      </c>
      <c r="B1442" s="46" t="s">
        <v>14</v>
      </c>
      <c r="C1442" s="46" t="s">
        <v>14</v>
      </c>
      <c r="D1442" s="46" t="str">
        <f>VLOOKUP(Table1[[#This Row],[Point of Origin]],Table2[#All],2,0)</f>
        <v>USA</v>
      </c>
      <c r="E1442" s="46" t="str">
        <f>VLOOKUP(Table1[[#This Row],[Point of Origin]],Table2[#All],3,0)</f>
        <v>Domestic</v>
      </c>
      <c r="F1442" s="46" t="s">
        <v>82</v>
      </c>
      <c r="G1442" s="58" t="s">
        <v>20</v>
      </c>
      <c r="H1442" s="22">
        <f>50+70</f>
        <v>120</v>
      </c>
      <c r="I1442" s="68">
        <f>Table1[[#This Row],[Total Weight Imported (lbs)]]*0.453592</f>
        <v>54.431039999999996</v>
      </c>
      <c r="J1442" s="55">
        <f>1400+2152.5</f>
        <v>3552.5</v>
      </c>
      <c r="K1442" s="52"/>
    </row>
    <row r="1443" spans="1:11" ht="15.75" customHeight="1">
      <c r="A1443" s="42" t="s">
        <v>288</v>
      </c>
      <c r="B1443" s="46" t="s">
        <v>14</v>
      </c>
      <c r="C1443" s="46" t="s">
        <v>14</v>
      </c>
      <c r="D1443" s="46" t="str">
        <f>VLOOKUP(Table1[[#This Row],[Point of Origin]],Table2[#All],2,0)</f>
        <v>USA</v>
      </c>
      <c r="E1443" s="46" t="str">
        <f>VLOOKUP(Table1[[#This Row],[Point of Origin]],Table2[#All],3,0)</f>
        <v>Domestic</v>
      </c>
      <c r="F1443" s="46" t="s">
        <v>79</v>
      </c>
      <c r="G1443" s="58" t="s">
        <v>80</v>
      </c>
      <c r="H1443" s="22">
        <f>24</f>
        <v>24</v>
      </c>
      <c r="I1443" s="68">
        <f>Table1[[#This Row],[Total Weight Imported (lbs)]]*0.453592</f>
        <v>10.886208</v>
      </c>
      <c r="J1443" s="55">
        <f>672</f>
        <v>672</v>
      </c>
      <c r="K1443" s="52"/>
    </row>
    <row r="1444" spans="1:11" ht="15.75" customHeight="1">
      <c r="A1444" s="42" t="s">
        <v>288</v>
      </c>
      <c r="B1444" s="46" t="s">
        <v>14</v>
      </c>
      <c r="C1444" s="46" t="s">
        <v>14</v>
      </c>
      <c r="D1444" s="46" t="str">
        <f>VLOOKUP(Table1[[#This Row],[Point of Origin]],Table2[#All],2,0)</f>
        <v>USA</v>
      </c>
      <c r="E1444" s="46" t="str">
        <f>VLOOKUP(Table1[[#This Row],[Point of Origin]],Table2[#All],3,0)</f>
        <v>Domestic</v>
      </c>
      <c r="F1444" s="46" t="s">
        <v>59</v>
      </c>
      <c r="G1444" s="58" t="s">
        <v>60</v>
      </c>
      <c r="H1444" s="22">
        <f>80+56+14+105+24</f>
        <v>279</v>
      </c>
      <c r="I1444" s="68">
        <f>Table1[[#This Row],[Total Weight Imported (lbs)]]*0.453592</f>
        <v>126.55216799999999</v>
      </c>
      <c r="J1444" s="55">
        <f>4040+1204+301+3307.5+816</f>
        <v>9668.5</v>
      </c>
      <c r="K1444" s="41"/>
    </row>
    <row r="1445" spans="1:11" ht="15.75" customHeight="1">
      <c r="A1445" s="42" t="s">
        <v>288</v>
      </c>
      <c r="B1445" s="46" t="s">
        <v>14</v>
      </c>
      <c r="C1445" s="46" t="s">
        <v>14</v>
      </c>
      <c r="D1445" s="46" t="str">
        <f>VLOOKUP(Table1[[#This Row],[Point of Origin]],Table2[#All],2,0)</f>
        <v>USA</v>
      </c>
      <c r="E1445" s="46" t="str">
        <f>VLOOKUP(Table1[[#This Row],[Point of Origin]],Table2[#All],3,0)</f>
        <v>Domestic</v>
      </c>
      <c r="F1445" s="46" t="s">
        <v>50</v>
      </c>
      <c r="G1445" s="58" t="s">
        <v>51</v>
      </c>
      <c r="H1445" s="22">
        <f>16</f>
        <v>16</v>
      </c>
      <c r="I1445" s="68">
        <f>Table1[[#This Row],[Total Weight Imported (lbs)]]*0.453592</f>
        <v>7.2574719999999999</v>
      </c>
      <c r="J1445" s="55">
        <f>448</f>
        <v>448</v>
      </c>
      <c r="K1445" s="1"/>
    </row>
    <row r="1446" spans="1:11" ht="15.75" customHeight="1">
      <c r="A1446" s="42" t="s">
        <v>288</v>
      </c>
      <c r="B1446" s="46" t="s">
        <v>46</v>
      </c>
      <c r="C1446" s="46" t="s">
        <v>46</v>
      </c>
      <c r="D1446" s="46" t="str">
        <f>VLOOKUP(Table1[[#This Row],[Point of Origin]],Table2[#All],2,0)</f>
        <v>Mexico</v>
      </c>
      <c r="E1446" s="46" t="str">
        <f>VLOOKUP(Table1[[#This Row],[Point of Origin]],Table2[#All],3,0)</f>
        <v>International</v>
      </c>
      <c r="F1446" s="46" t="s">
        <v>38</v>
      </c>
      <c r="G1446" s="58" t="s">
        <v>39</v>
      </c>
      <c r="H1446" s="22">
        <f>88</f>
        <v>88</v>
      </c>
      <c r="I1446" s="68">
        <f>Table1[[#This Row],[Total Weight Imported (lbs)]]*0.453592</f>
        <v>39.916095999999996</v>
      </c>
      <c r="J1446" s="55">
        <f>3520</f>
        <v>3520</v>
      </c>
      <c r="K1446" s="1"/>
    </row>
    <row r="1447" spans="1:11" ht="15.75" customHeight="1">
      <c r="A1447" s="64" t="s">
        <v>289</v>
      </c>
      <c r="B1447" s="64" t="s">
        <v>46</v>
      </c>
      <c r="C1447" s="64" t="s">
        <v>46</v>
      </c>
      <c r="D1447" s="64" t="str">
        <f>VLOOKUP(Table1[[#This Row],[Point of Origin]],Table2[#All],2,0)</f>
        <v>Mexico</v>
      </c>
      <c r="E1447" s="64" t="str">
        <f>VLOOKUP(Table1[[#This Row],[Point of Origin]],Table2[#All],3,0)</f>
        <v>International</v>
      </c>
      <c r="F1447" s="64" t="s">
        <v>67</v>
      </c>
      <c r="G1447" s="58" t="s">
        <v>68</v>
      </c>
      <c r="H1447" s="22">
        <f>72</f>
        <v>72</v>
      </c>
      <c r="I1447" s="68">
        <f>Table1[[#This Row],[Total Weight Imported (lbs)]]*0.453592</f>
        <v>32.658624000000003</v>
      </c>
      <c r="J1447" s="55">
        <v>4608</v>
      </c>
      <c r="K1447" s="41"/>
    </row>
    <row r="1448" spans="1:11" ht="15.75" customHeight="1">
      <c r="A1448" s="64" t="s">
        <v>289</v>
      </c>
      <c r="B1448" s="64" t="s">
        <v>14</v>
      </c>
      <c r="C1448" s="64" t="s">
        <v>14</v>
      </c>
      <c r="D1448" s="64" t="str">
        <f>VLOOKUP(Table1[[#This Row],[Point of Origin]],Table2[#All],2,0)</f>
        <v>USA</v>
      </c>
      <c r="E1448" s="64" t="str">
        <f>VLOOKUP(Table1[[#This Row],[Point of Origin]],Table2[#All],3,0)</f>
        <v>Domestic</v>
      </c>
      <c r="F1448" s="65" t="s">
        <v>71</v>
      </c>
      <c r="G1448" s="58" t="s">
        <v>72</v>
      </c>
      <c r="H1448" s="22">
        <f>75+75</f>
        <v>150</v>
      </c>
      <c r="I1448" s="68">
        <f>Table1[[#This Row],[Total Weight Imported (lbs)]]*0.453592</f>
        <v>68.038799999999995</v>
      </c>
      <c r="J1448" s="55">
        <f>2850+2550</f>
        <v>5400</v>
      </c>
      <c r="K1448" s="41"/>
    </row>
    <row r="1449" spans="1:11" ht="15.75" customHeight="1">
      <c r="A1449" s="64" t="s">
        <v>289</v>
      </c>
      <c r="B1449" s="64" t="s">
        <v>14</v>
      </c>
      <c r="C1449" s="64" t="s">
        <v>14</v>
      </c>
      <c r="D1449" s="64" t="str">
        <f>VLOOKUP(Table1[[#This Row],[Point of Origin]],Table2[#All],2,0)</f>
        <v>USA</v>
      </c>
      <c r="E1449" s="64" t="str">
        <f>VLOOKUP(Table1[[#This Row],[Point of Origin]],Table2[#All],3,0)</f>
        <v>Domestic</v>
      </c>
      <c r="F1449" s="65" t="s">
        <v>143</v>
      </c>
      <c r="G1449" s="58" t="s">
        <v>144</v>
      </c>
      <c r="H1449" s="22">
        <f>18</f>
        <v>18</v>
      </c>
      <c r="I1449" s="68">
        <f>Table1[[#This Row],[Total Weight Imported (lbs)]]*0.453592</f>
        <v>8.1646560000000008</v>
      </c>
      <c r="J1449" s="55">
        <f>639</f>
        <v>639</v>
      </c>
      <c r="K1449" s="41"/>
    </row>
    <row r="1450" spans="1:11" ht="15.75" customHeight="1">
      <c r="A1450" s="64" t="s">
        <v>289</v>
      </c>
      <c r="B1450" s="64" t="s">
        <v>244</v>
      </c>
      <c r="C1450" s="64" t="s">
        <v>244</v>
      </c>
      <c r="D1450" s="64" t="str">
        <f>VLOOKUP(Table1[[#This Row],[Point of Origin]],Table2[#All],2,0)</f>
        <v>Chile</v>
      </c>
      <c r="E1450" s="64" t="str">
        <f>VLOOKUP(Table1[[#This Row],[Point of Origin]],Table2[#All],3,0)</f>
        <v>International</v>
      </c>
      <c r="F1450" s="65" t="s">
        <v>139</v>
      </c>
      <c r="G1450" s="58" t="s">
        <v>140</v>
      </c>
      <c r="H1450" s="22">
        <f>15</f>
        <v>15</v>
      </c>
      <c r="I1450" s="68">
        <f>Table1[[#This Row],[Total Weight Imported (lbs)]]*0.453592</f>
        <v>6.8038799999999995</v>
      </c>
      <c r="J1450" s="55">
        <f>690</f>
        <v>690</v>
      </c>
      <c r="K1450" s="41"/>
    </row>
    <row r="1451" spans="1:11" ht="15.75" customHeight="1">
      <c r="A1451" s="64" t="s">
        <v>289</v>
      </c>
      <c r="B1451" s="64" t="s">
        <v>14</v>
      </c>
      <c r="C1451" s="64" t="s">
        <v>14</v>
      </c>
      <c r="D1451" s="64" t="str">
        <f>VLOOKUP(Table1[[#This Row],[Point of Origin]],Table2[#All],2,0)</f>
        <v>USA</v>
      </c>
      <c r="E1451" s="64" t="str">
        <f>VLOOKUP(Table1[[#This Row],[Point of Origin]],Table2[#All],3,0)</f>
        <v>Domestic</v>
      </c>
      <c r="F1451" s="65" t="s">
        <v>139</v>
      </c>
      <c r="G1451" s="58" t="s">
        <v>140</v>
      </c>
      <c r="H1451" s="22">
        <f>50</f>
        <v>50</v>
      </c>
      <c r="I1451" s="68">
        <f>Table1[[#This Row],[Total Weight Imported (lbs)]]*0.453592</f>
        <v>22.679600000000001</v>
      </c>
      <c r="J1451" s="55">
        <f>850</f>
        <v>850</v>
      </c>
      <c r="K1451" s="41"/>
    </row>
    <row r="1452" spans="1:11" ht="15.75" customHeight="1">
      <c r="A1452" s="64" t="s">
        <v>289</v>
      </c>
      <c r="B1452" s="64" t="s">
        <v>14</v>
      </c>
      <c r="C1452" s="64" t="s">
        <v>14</v>
      </c>
      <c r="D1452" s="64" t="str">
        <f>VLOOKUP(Table1[[#This Row],[Point of Origin]],Table2[#All],2,0)</f>
        <v>USA</v>
      </c>
      <c r="E1452" s="64" t="str">
        <f>VLOOKUP(Table1[[#This Row],[Point of Origin]],Table2[#All],3,0)</f>
        <v>Domestic</v>
      </c>
      <c r="F1452" s="65" t="s">
        <v>137</v>
      </c>
      <c r="G1452" s="58" t="s">
        <v>138</v>
      </c>
      <c r="H1452" s="22">
        <f>18</f>
        <v>18</v>
      </c>
      <c r="I1452" s="68">
        <f>Table1[[#This Row],[Total Weight Imported (lbs)]]*0.453592</f>
        <v>8.1646560000000008</v>
      </c>
      <c r="J1452" s="55">
        <f>495</f>
        <v>495</v>
      </c>
      <c r="K1452" s="1"/>
    </row>
    <row r="1453" spans="1:11" ht="15.75" customHeight="1">
      <c r="A1453" s="64" t="s">
        <v>289</v>
      </c>
      <c r="B1453" s="64" t="s">
        <v>290</v>
      </c>
      <c r="C1453" s="64" t="s">
        <v>290</v>
      </c>
      <c r="D1453" s="64" t="str">
        <f>VLOOKUP(Table1[[#This Row],[Point of Origin]],Table2[#All],2,0)</f>
        <v>Brazil</v>
      </c>
      <c r="E1453" s="64" t="str">
        <f>VLOOKUP(Table1[[#This Row],[Point of Origin]],Table2[#All],3,0)</f>
        <v>International</v>
      </c>
      <c r="F1453" s="64" t="s">
        <v>48</v>
      </c>
      <c r="G1453" s="58" t="s">
        <v>49</v>
      </c>
      <c r="H1453" s="22">
        <f>400</f>
        <v>400</v>
      </c>
      <c r="I1453" s="68">
        <f>Table1[[#This Row],[Total Weight Imported (lbs)]]*0.453592</f>
        <v>181.43680000000001</v>
      </c>
      <c r="J1453" s="55">
        <f>7200</f>
        <v>7200</v>
      </c>
      <c r="K1453" s="41"/>
    </row>
    <row r="1454" spans="1:11" ht="15.75" customHeight="1">
      <c r="A1454" s="64" t="s">
        <v>289</v>
      </c>
      <c r="B1454" s="64" t="s">
        <v>46</v>
      </c>
      <c r="C1454" s="64" t="s">
        <v>46</v>
      </c>
      <c r="D1454" s="64" t="str">
        <f>VLOOKUP(Table1[[#This Row],[Point of Origin]],Table2[#All],2,0)</f>
        <v>Mexico</v>
      </c>
      <c r="E1454" s="64" t="str">
        <f>VLOOKUP(Table1[[#This Row],[Point of Origin]],Table2[#All],3,0)</f>
        <v>International</v>
      </c>
      <c r="F1454" s="65" t="s">
        <v>158</v>
      </c>
      <c r="G1454" s="58" t="s">
        <v>127</v>
      </c>
      <c r="H1454" s="22">
        <f>21+35</f>
        <v>56</v>
      </c>
      <c r="I1454" s="68">
        <f>Table1[[#This Row],[Total Weight Imported (lbs)]]*0.453592</f>
        <v>25.401152</v>
      </c>
      <c r="J1454" s="55">
        <f>315+525</f>
        <v>840</v>
      </c>
      <c r="K1454" s="41"/>
    </row>
    <row r="1455" spans="1:11" ht="15.75" customHeight="1">
      <c r="A1455" s="64" t="s">
        <v>289</v>
      </c>
      <c r="B1455" s="64" t="s">
        <v>46</v>
      </c>
      <c r="C1455" s="64" t="s">
        <v>46</v>
      </c>
      <c r="D1455" s="64" t="str">
        <f>VLOOKUP(Table1[[#This Row],[Point of Origin]],Table2[#All],2,0)</f>
        <v>Mexico</v>
      </c>
      <c r="E1455" s="64" t="str">
        <f>VLOOKUP(Table1[[#This Row],[Point of Origin]],Table2[#All],3,0)</f>
        <v>International</v>
      </c>
      <c r="F1455" s="65" t="s">
        <v>161</v>
      </c>
      <c r="G1455" s="58" t="s">
        <v>162</v>
      </c>
      <c r="H1455" s="22">
        <f>40</f>
        <v>40</v>
      </c>
      <c r="I1455" s="68">
        <f>Table1[[#This Row],[Total Weight Imported (lbs)]]*0.453592</f>
        <v>18.14368</v>
      </c>
      <c r="J1455" s="55">
        <f>1200</f>
        <v>1200</v>
      </c>
      <c r="K1455" s="41"/>
    </row>
    <row r="1456" spans="1:11" ht="15.75" customHeight="1">
      <c r="A1456" s="64" t="s">
        <v>289</v>
      </c>
      <c r="B1456" s="64" t="s">
        <v>245</v>
      </c>
      <c r="C1456" s="64" t="s">
        <v>245</v>
      </c>
      <c r="D1456" s="64" t="str">
        <f>VLOOKUP(Table1[[#This Row],[Point of Origin]],Table2[#All],2,0)</f>
        <v>Costa Rica</v>
      </c>
      <c r="E1456" s="64" t="str">
        <f>VLOOKUP(Table1[[#This Row],[Point of Origin]],Table2[#All],3,0)</f>
        <v>International</v>
      </c>
      <c r="F1456" s="64" t="s">
        <v>159</v>
      </c>
      <c r="G1456" s="58" t="s">
        <v>160</v>
      </c>
      <c r="H1456" s="22">
        <f>75</f>
        <v>75</v>
      </c>
      <c r="I1456" s="68">
        <f>Table1[[#This Row],[Total Weight Imported (lbs)]]*0.453592</f>
        <v>34.019399999999997</v>
      </c>
      <c r="J1456" s="55">
        <f>1350</f>
        <v>1350</v>
      </c>
      <c r="K1456" s="1"/>
    </row>
    <row r="1457" spans="1:11" ht="15.75" customHeight="1">
      <c r="A1457" s="64" t="s">
        <v>289</v>
      </c>
      <c r="B1457" s="64" t="s">
        <v>46</v>
      </c>
      <c r="C1457" s="64" t="s">
        <v>46</v>
      </c>
      <c r="D1457" s="64" t="str">
        <f>VLOOKUP(Table1[[#This Row],[Point of Origin]],Table2[#All],2,0)</f>
        <v>Mexico</v>
      </c>
      <c r="E1457" s="64" t="str">
        <f>VLOOKUP(Table1[[#This Row],[Point of Origin]],Table2[#All],3,0)</f>
        <v>International</v>
      </c>
      <c r="F1457" s="64" t="s">
        <v>15</v>
      </c>
      <c r="G1457" s="58" t="s">
        <v>16</v>
      </c>
      <c r="H1457" s="22">
        <f>50</f>
        <v>50</v>
      </c>
      <c r="I1457" s="68">
        <f>Table1[[#This Row],[Total Weight Imported (lbs)]]*0.453592</f>
        <v>22.679600000000001</v>
      </c>
      <c r="J1457" s="55">
        <f>1650</f>
        <v>1650</v>
      </c>
      <c r="K1457" s="1"/>
    </row>
    <row r="1458" spans="1:11" ht="15.75" customHeight="1">
      <c r="A1458" s="64" t="s">
        <v>289</v>
      </c>
      <c r="B1458" s="64" t="s">
        <v>46</v>
      </c>
      <c r="C1458" s="64" t="s">
        <v>46</v>
      </c>
      <c r="D1458" s="64" t="str">
        <f>VLOOKUP(Table1[[#This Row],[Point of Origin]],Table2[#All],2,0)</f>
        <v>Mexico</v>
      </c>
      <c r="E1458" s="64" t="str">
        <f>VLOOKUP(Table1[[#This Row],[Point of Origin]],Table2[#All],3,0)</f>
        <v>International</v>
      </c>
      <c r="F1458" s="65" t="s">
        <v>124</v>
      </c>
      <c r="G1458" s="58" t="s">
        <v>30</v>
      </c>
      <c r="H1458" s="22">
        <f>16</f>
        <v>16</v>
      </c>
      <c r="I1458" s="68">
        <f>Table1[[#This Row],[Total Weight Imported (lbs)]]*0.453592</f>
        <v>7.2574719999999999</v>
      </c>
      <c r="J1458" s="55">
        <f>224</f>
        <v>224</v>
      </c>
      <c r="K1458" s="41"/>
    </row>
    <row r="1459" spans="1:11" ht="15.75" customHeight="1">
      <c r="A1459" s="64" t="s">
        <v>289</v>
      </c>
      <c r="B1459" s="64" t="s">
        <v>14</v>
      </c>
      <c r="C1459" s="64" t="s">
        <v>14</v>
      </c>
      <c r="D1459" s="64" t="str">
        <f>VLOOKUP(Table1[[#This Row],[Point of Origin]],Table2[#All],2,0)</f>
        <v>USA</v>
      </c>
      <c r="E1459" s="64" t="str">
        <f>VLOOKUP(Table1[[#This Row],[Point of Origin]],Table2[#All],3,0)</f>
        <v>Domestic</v>
      </c>
      <c r="F1459" s="65" t="s">
        <v>40</v>
      </c>
      <c r="G1459" s="58" t="s">
        <v>41</v>
      </c>
      <c r="H1459" s="22">
        <f>25+8</f>
        <v>33</v>
      </c>
      <c r="I1459" s="68">
        <f>Table1[[#This Row],[Total Weight Imported (lbs)]]*0.453592</f>
        <v>14.968536</v>
      </c>
      <c r="J1459" s="55">
        <f>400+200</f>
        <v>600</v>
      </c>
      <c r="K1459" s="41"/>
    </row>
    <row r="1460" spans="1:11" ht="15.75" customHeight="1">
      <c r="A1460" s="64" t="s">
        <v>289</v>
      </c>
      <c r="B1460" s="64" t="s">
        <v>14</v>
      </c>
      <c r="C1460" s="64" t="s">
        <v>14</v>
      </c>
      <c r="D1460" s="64" t="str">
        <f>VLOOKUP(Table1[[#This Row],[Point of Origin]],Table2[#All],2,0)</f>
        <v>USA</v>
      </c>
      <c r="E1460" s="64" t="str">
        <f>VLOOKUP(Table1[[#This Row],[Point of Origin]],Table2[#All],3,0)</f>
        <v>Domestic</v>
      </c>
      <c r="F1460" s="64" t="s">
        <v>56</v>
      </c>
      <c r="G1460" s="58" t="s">
        <v>57</v>
      </c>
      <c r="H1460" s="22">
        <f>20</f>
        <v>20</v>
      </c>
      <c r="I1460" s="68">
        <f>Table1[[#This Row],[Total Weight Imported (lbs)]]*0.453592</f>
        <v>9.0718399999999999</v>
      </c>
      <c r="J1460" s="55">
        <f>400</f>
        <v>400</v>
      </c>
      <c r="K1460" s="41"/>
    </row>
    <row r="1461" spans="1:11" ht="15.75" customHeight="1">
      <c r="A1461" s="64" t="s">
        <v>289</v>
      </c>
      <c r="B1461" s="64" t="s">
        <v>46</v>
      </c>
      <c r="C1461" s="64" t="s">
        <v>46</v>
      </c>
      <c r="D1461" s="64" t="str">
        <f>VLOOKUP(Table1[[#This Row],[Point of Origin]],Table2[#All],2,0)</f>
        <v>Mexico</v>
      </c>
      <c r="E1461" s="64" t="str">
        <f>VLOOKUP(Table1[[#This Row],[Point of Origin]],Table2[#All],3,0)</f>
        <v>International</v>
      </c>
      <c r="F1461" s="64" t="s">
        <v>61</v>
      </c>
      <c r="G1461" s="58" t="s">
        <v>62</v>
      </c>
      <c r="H1461" s="22">
        <f>40+10</f>
        <v>50</v>
      </c>
      <c r="I1461" s="68">
        <f>Table1[[#This Row],[Total Weight Imported (lbs)]]*0.453592</f>
        <v>22.679600000000001</v>
      </c>
      <c r="J1461" s="55">
        <f>478+119.5</f>
        <v>597.5</v>
      </c>
      <c r="K1461" s="41"/>
    </row>
    <row r="1462" spans="1:11" ht="15.75" customHeight="1">
      <c r="A1462" s="64" t="s">
        <v>289</v>
      </c>
      <c r="B1462" s="64" t="s">
        <v>14</v>
      </c>
      <c r="C1462" s="64" t="s">
        <v>14</v>
      </c>
      <c r="D1462" s="64" t="str">
        <f>VLOOKUP(Table1[[#This Row],[Point of Origin]],Table2[#All],2,0)</f>
        <v>USA</v>
      </c>
      <c r="E1462" s="64" t="str">
        <f>VLOOKUP(Table1[[#This Row],[Point of Origin]],Table2[#All],3,0)</f>
        <v>Domestic</v>
      </c>
      <c r="F1462" s="64" t="s">
        <v>61</v>
      </c>
      <c r="G1462" s="58" t="s">
        <v>62</v>
      </c>
      <c r="H1462" s="22">
        <f>10</f>
        <v>10</v>
      </c>
      <c r="I1462" s="68">
        <f>Table1[[#This Row],[Total Weight Imported (lbs)]]*0.453592</f>
        <v>4.53592</v>
      </c>
      <c r="J1462" s="55">
        <f>119.5</f>
        <v>119.5</v>
      </c>
      <c r="K1462" s="41"/>
    </row>
    <row r="1463" spans="1:11" ht="15.75" customHeight="1">
      <c r="A1463" s="64" t="s">
        <v>289</v>
      </c>
      <c r="B1463" s="64" t="s">
        <v>46</v>
      </c>
      <c r="C1463" s="64" t="s">
        <v>46</v>
      </c>
      <c r="D1463" s="64" t="str">
        <f>VLOOKUP(Table1[[#This Row],[Point of Origin]],Table2[#All],2,0)</f>
        <v>Mexico</v>
      </c>
      <c r="E1463" s="64" t="str">
        <f>VLOOKUP(Table1[[#This Row],[Point of Origin]],Table2[#All],3,0)</f>
        <v>International</v>
      </c>
      <c r="F1463" s="65" t="s">
        <v>146</v>
      </c>
      <c r="G1463" s="58" t="s">
        <v>32</v>
      </c>
      <c r="H1463" s="22">
        <f>14</f>
        <v>14</v>
      </c>
      <c r="I1463" s="68">
        <f>Table1[[#This Row],[Total Weight Imported (lbs)]]*0.453592</f>
        <v>6.3502879999999999</v>
      </c>
      <c r="J1463" s="55">
        <f>167.3</f>
        <v>167.3</v>
      </c>
      <c r="K1463" s="41"/>
    </row>
    <row r="1464" spans="1:11" ht="15.75" customHeight="1">
      <c r="A1464" s="64" t="s">
        <v>289</v>
      </c>
      <c r="B1464" s="64" t="s">
        <v>291</v>
      </c>
      <c r="C1464" s="64" t="s">
        <v>291</v>
      </c>
      <c r="D1464" s="64" t="str">
        <f>VLOOKUP(Table1[[#This Row],[Point of Origin]],Table2[#All],2,0)</f>
        <v>Spain</v>
      </c>
      <c r="E1464" s="64" t="str">
        <f>VLOOKUP(Table1[[#This Row],[Point of Origin]],Table2[#All],3,0)</f>
        <v>International</v>
      </c>
      <c r="F1464" s="65" t="s">
        <v>96</v>
      </c>
      <c r="G1464" s="58" t="s">
        <v>97</v>
      </c>
      <c r="H1464" s="22">
        <f>15+10</f>
        <v>25</v>
      </c>
      <c r="I1464" s="68">
        <f>Table1[[#This Row],[Total Weight Imported (lbs)]]*0.453592</f>
        <v>11.3398</v>
      </c>
      <c r="J1464" s="55">
        <f>1147.5+830</f>
        <v>1977.5</v>
      </c>
      <c r="K1464" s="41"/>
    </row>
    <row r="1465" spans="1:11" ht="15.75" customHeight="1">
      <c r="A1465" s="64" t="s">
        <v>289</v>
      </c>
      <c r="B1465" s="64" t="s">
        <v>271</v>
      </c>
      <c r="C1465" s="64" t="s">
        <v>271</v>
      </c>
      <c r="D1465" s="64" t="str">
        <f>VLOOKUP(Table1[[#This Row],[Point of Origin]],Table2[#All],2,0)</f>
        <v>China</v>
      </c>
      <c r="E1465" s="64" t="str">
        <f>VLOOKUP(Table1[[#This Row],[Point of Origin]],Table2[#All],3,0)</f>
        <v>International</v>
      </c>
      <c r="F1465" s="65" t="s">
        <v>163</v>
      </c>
      <c r="G1465" s="58" t="s">
        <v>164</v>
      </c>
      <c r="H1465" s="22">
        <f>56</f>
        <v>56</v>
      </c>
      <c r="I1465" s="68">
        <f>Table1[[#This Row],[Total Weight Imported (lbs)]]*0.453592</f>
        <v>25.401152</v>
      </c>
      <c r="J1465" s="55">
        <f>2240</f>
        <v>2240</v>
      </c>
      <c r="K1465" s="41"/>
    </row>
    <row r="1466" spans="1:11" ht="15.75" customHeight="1">
      <c r="A1466" s="64" t="s">
        <v>289</v>
      </c>
      <c r="B1466" s="64" t="s">
        <v>14</v>
      </c>
      <c r="C1466" s="64" t="s">
        <v>14</v>
      </c>
      <c r="D1466" s="64" t="str">
        <f>VLOOKUP(Table1[[#This Row],[Point of Origin]],Table2[#All],2,0)</f>
        <v>USA</v>
      </c>
      <c r="E1466" s="64" t="str">
        <f>VLOOKUP(Table1[[#This Row],[Point of Origin]],Table2[#All],3,0)</f>
        <v>Domestic</v>
      </c>
      <c r="F1466" s="64" t="s">
        <v>36</v>
      </c>
      <c r="G1466" s="58" t="s">
        <v>37</v>
      </c>
      <c r="H1466" s="22">
        <f>15+10</f>
        <v>25</v>
      </c>
      <c r="I1466" s="68">
        <f>Table1[[#This Row],[Total Weight Imported (lbs)]]*0.453592</f>
        <v>11.3398</v>
      </c>
      <c r="J1466" s="55">
        <f>307.5+235</f>
        <v>542.5</v>
      </c>
      <c r="K1466" s="1"/>
    </row>
    <row r="1467" spans="1:11" ht="15.75" customHeight="1">
      <c r="A1467" s="64" t="s">
        <v>289</v>
      </c>
      <c r="B1467" s="64" t="s">
        <v>46</v>
      </c>
      <c r="C1467" s="64" t="s">
        <v>46</v>
      </c>
      <c r="D1467" s="64" t="str">
        <f>VLOOKUP(Table1[[#This Row],[Point of Origin]],Table2[#All],2,0)</f>
        <v>Mexico</v>
      </c>
      <c r="E1467" s="64" t="str">
        <f>VLOOKUP(Table1[[#This Row],[Point of Origin]],Table2[#All],3,0)</f>
        <v>International</v>
      </c>
      <c r="F1467" s="65" t="s">
        <v>58</v>
      </c>
      <c r="G1467" s="58" t="s">
        <v>34</v>
      </c>
      <c r="H1467" s="22">
        <f>132</f>
        <v>132</v>
      </c>
      <c r="I1467" s="68">
        <f>Table1[[#This Row],[Total Weight Imported (lbs)]]*0.453592</f>
        <v>59.874144000000001</v>
      </c>
      <c r="J1467" s="55">
        <f>3168</f>
        <v>3168</v>
      </c>
      <c r="K1467" s="1"/>
    </row>
    <row r="1468" spans="1:11" ht="15.75" customHeight="1">
      <c r="A1468" s="64" t="s">
        <v>289</v>
      </c>
      <c r="B1468" s="64" t="s">
        <v>14</v>
      </c>
      <c r="C1468" s="64" t="s">
        <v>14</v>
      </c>
      <c r="D1468" s="64" t="str">
        <f>VLOOKUP(Table1[[#This Row],[Point of Origin]],Table2[#All],2,0)</f>
        <v>USA</v>
      </c>
      <c r="E1468" s="64" t="str">
        <f>VLOOKUP(Table1[[#This Row],[Point of Origin]],Table2[#All],3,0)</f>
        <v>Domestic</v>
      </c>
      <c r="F1468" s="64" t="s">
        <v>76</v>
      </c>
      <c r="G1468" s="58" t="s">
        <v>77</v>
      </c>
      <c r="H1468" s="22">
        <f>40+7+10+7</f>
        <v>64</v>
      </c>
      <c r="I1468" s="68">
        <f>Table1[[#This Row],[Total Weight Imported (lbs)]]*0.453592</f>
        <v>29.029888</v>
      </c>
      <c r="J1468" s="55">
        <f>680+185.5+165+105</f>
        <v>1135.5</v>
      </c>
      <c r="K1468" s="1"/>
    </row>
    <row r="1469" spans="1:11" ht="15.75" customHeight="1">
      <c r="A1469" s="64" t="s">
        <v>289</v>
      </c>
      <c r="B1469" s="64" t="s">
        <v>14</v>
      </c>
      <c r="C1469" s="64" t="s">
        <v>14</v>
      </c>
      <c r="D1469" s="64" t="str">
        <f>VLOOKUP(Table1[[#This Row],[Point of Origin]],Table2[#All],2,0)</f>
        <v>USA</v>
      </c>
      <c r="E1469" s="64" t="str">
        <f>VLOOKUP(Table1[[#This Row],[Point of Origin]],Table2[#All],3,0)</f>
        <v>Domestic</v>
      </c>
      <c r="F1469" s="65" t="s">
        <v>54</v>
      </c>
      <c r="G1469" s="58" t="s">
        <v>30</v>
      </c>
      <c r="H1469" s="22">
        <f>8</f>
        <v>8</v>
      </c>
      <c r="I1469" s="68">
        <f>Table1[[#This Row],[Total Weight Imported (lbs)]]*0.453592</f>
        <v>3.628736</v>
      </c>
      <c r="J1469" s="55">
        <f>184</f>
        <v>184</v>
      </c>
      <c r="K1469" s="41"/>
    </row>
    <row r="1470" spans="1:11" ht="15.75" customHeight="1">
      <c r="A1470" s="64" t="s">
        <v>289</v>
      </c>
      <c r="B1470" s="64" t="s">
        <v>14</v>
      </c>
      <c r="C1470" s="64" t="s">
        <v>14</v>
      </c>
      <c r="D1470" s="64" t="str">
        <f>VLOOKUP(Table1[[#This Row],[Point of Origin]],Table2[#All],2,0)</f>
        <v>USA</v>
      </c>
      <c r="E1470" s="64" t="str">
        <f>VLOOKUP(Table1[[#This Row],[Point of Origin]],Table2[#All],3,0)</f>
        <v>Domestic</v>
      </c>
      <c r="F1470" s="65" t="s">
        <v>184</v>
      </c>
      <c r="G1470" s="58" t="s">
        <v>185</v>
      </c>
      <c r="H1470" s="22">
        <f>12</f>
        <v>12</v>
      </c>
      <c r="I1470" s="68">
        <f>Table1[[#This Row],[Total Weight Imported (lbs)]]*0.453592</f>
        <v>5.4431039999999999</v>
      </c>
      <c r="J1470" s="55">
        <f>576</f>
        <v>576</v>
      </c>
      <c r="K1470" s="1"/>
    </row>
    <row r="1471" spans="1:11" ht="15.75" customHeight="1">
      <c r="A1471" s="64" t="s">
        <v>289</v>
      </c>
      <c r="B1471" s="64" t="s">
        <v>14</v>
      </c>
      <c r="C1471" s="64" t="s">
        <v>14</v>
      </c>
      <c r="D1471" s="64" t="str">
        <f>VLOOKUP(Table1[[#This Row],[Point of Origin]],Table2[#All],2,0)</f>
        <v>USA</v>
      </c>
      <c r="E1471" s="64" t="str">
        <f>VLOOKUP(Table1[[#This Row],[Point of Origin]],Table2[#All],3,0)</f>
        <v>Domestic</v>
      </c>
      <c r="F1471" s="64" t="s">
        <v>63</v>
      </c>
      <c r="G1471" s="58" t="s">
        <v>64</v>
      </c>
      <c r="H1471" s="22">
        <f>2+5</f>
        <v>7</v>
      </c>
      <c r="I1471" s="68">
        <f>Table1[[#This Row],[Total Weight Imported (lbs)]]*0.453592</f>
        <v>3.175144</v>
      </c>
      <c r="J1471" s="55">
        <f>36+90</f>
        <v>126</v>
      </c>
      <c r="K1471" s="1"/>
    </row>
    <row r="1472" spans="1:11" ht="15.75" customHeight="1">
      <c r="A1472" s="64" t="s">
        <v>289</v>
      </c>
      <c r="B1472" s="64" t="s">
        <v>46</v>
      </c>
      <c r="C1472" s="64" t="s">
        <v>46</v>
      </c>
      <c r="D1472" s="64" t="str">
        <f>VLOOKUP(Table1[[#This Row],[Point of Origin]],Table2[#All],2,0)</f>
        <v>Mexico</v>
      </c>
      <c r="E1472" s="64" t="str">
        <f>VLOOKUP(Table1[[#This Row],[Point of Origin]],Table2[#All],3,0)</f>
        <v>International</v>
      </c>
      <c r="F1472" s="64" t="s">
        <v>63</v>
      </c>
      <c r="G1472" s="58" t="s">
        <v>64</v>
      </c>
      <c r="H1472" s="22">
        <f>42+5+15</f>
        <v>62</v>
      </c>
      <c r="I1472" s="68">
        <f>Table1[[#This Row],[Total Weight Imported (lbs)]]*0.453592</f>
        <v>28.122703999999999</v>
      </c>
      <c r="J1472" s="55">
        <f>1008+90+225</f>
        <v>1323</v>
      </c>
      <c r="K1472" s="1"/>
    </row>
    <row r="1473" spans="1:32" ht="15.75" customHeight="1">
      <c r="A1473" s="71" t="s">
        <v>289</v>
      </c>
      <c r="B1473" s="71" t="s">
        <v>46</v>
      </c>
      <c r="C1473" s="71" t="s">
        <v>46</v>
      </c>
      <c r="D1473" s="71" t="str">
        <f>VLOOKUP(Table1[[#This Row],[Point of Origin]],Table2[#All],2,0)</f>
        <v>Mexico</v>
      </c>
      <c r="E1473" s="71" t="str">
        <f>VLOOKUP(Table1[[#This Row],[Point of Origin]],Table2[#All],3,0)</f>
        <v>International</v>
      </c>
      <c r="F1473" s="71" t="s">
        <v>38</v>
      </c>
      <c r="G1473" s="58" t="s">
        <v>39</v>
      </c>
      <c r="H1473" s="22">
        <f>32+24+40+8+48</f>
        <v>152</v>
      </c>
      <c r="I1473" s="68">
        <f>Table1[[#This Row],[Total Weight Imported (lbs)]]*0.453592</f>
        <v>68.945983999999996</v>
      </c>
      <c r="J1473" s="55">
        <f>896+648+840+272+1296</f>
        <v>3952</v>
      </c>
      <c r="K1473" s="2"/>
      <c r="L1473" s="72"/>
      <c r="M1473" s="72"/>
      <c r="N1473" s="72"/>
      <c r="O1473" s="72"/>
      <c r="P1473" s="72"/>
      <c r="Q1473" s="72"/>
      <c r="R1473" s="72"/>
      <c r="S1473" s="72"/>
      <c r="T1473" s="72"/>
      <c r="U1473" s="72"/>
      <c r="V1473" s="72"/>
      <c r="W1473" s="72"/>
      <c r="X1473" s="72"/>
      <c r="Y1473" s="72"/>
      <c r="Z1473" s="72"/>
      <c r="AA1473" s="72"/>
      <c r="AB1473" s="72"/>
      <c r="AC1473" s="72"/>
      <c r="AD1473" s="72"/>
      <c r="AE1473" s="72"/>
      <c r="AF1473" s="72"/>
    </row>
    <row r="1474" spans="1:32" ht="15.75" customHeight="1">
      <c r="A1474" s="71" t="s">
        <v>289</v>
      </c>
      <c r="B1474" s="71" t="s">
        <v>111</v>
      </c>
      <c r="C1474" s="71" t="s">
        <v>111</v>
      </c>
      <c r="D1474" s="71" t="str">
        <f>VLOOKUP(Table1[[#This Row],[Point of Origin]],Table2[#All],2,0)</f>
        <v>New Zealand</v>
      </c>
      <c r="E1474" s="71" t="str">
        <f>VLOOKUP(Table1[[#This Row],[Point of Origin]],Table2[#All],3,0)</f>
        <v>International</v>
      </c>
      <c r="F1474" s="73" t="s">
        <v>139</v>
      </c>
      <c r="G1474" s="58" t="s">
        <v>140</v>
      </c>
      <c r="H1474" s="22">
        <f>75</f>
        <v>75</v>
      </c>
      <c r="I1474" s="68">
        <f>Table1[[#This Row],[Total Weight Imported (lbs)]]*0.453592</f>
        <v>34.019399999999997</v>
      </c>
      <c r="J1474" s="55">
        <f>2212.5</f>
        <v>2212.5</v>
      </c>
      <c r="K1474" s="50"/>
      <c r="L1474" s="72"/>
      <c r="M1474" s="72"/>
      <c r="N1474" s="72"/>
      <c r="O1474" s="72"/>
      <c r="P1474" s="72"/>
      <c r="Q1474" s="72"/>
      <c r="R1474" s="72"/>
      <c r="S1474" s="72"/>
      <c r="T1474" s="72"/>
      <c r="U1474" s="72"/>
      <c r="V1474" s="72"/>
      <c r="W1474" s="72"/>
      <c r="X1474" s="72"/>
      <c r="Y1474" s="72"/>
      <c r="Z1474" s="72"/>
      <c r="AA1474" s="72"/>
      <c r="AB1474" s="72"/>
      <c r="AC1474" s="72"/>
      <c r="AD1474" s="72"/>
      <c r="AE1474" s="72"/>
      <c r="AF1474" s="72"/>
    </row>
    <row r="1475" spans="1:32" ht="15.75" customHeight="1">
      <c r="A1475" s="71" t="s">
        <v>289</v>
      </c>
      <c r="B1475" s="71" t="s">
        <v>290</v>
      </c>
      <c r="C1475" s="71" t="s">
        <v>290</v>
      </c>
      <c r="D1475" s="71" t="str">
        <f>VLOOKUP(Table1[[#This Row],[Point of Origin]],Table2[#All],2,0)</f>
        <v>Brazil</v>
      </c>
      <c r="E1475" s="71" t="str">
        <f>VLOOKUP(Table1[[#This Row],[Point of Origin]],Table2[#All],3,0)</f>
        <v>International</v>
      </c>
      <c r="F1475" s="73" t="s">
        <v>163</v>
      </c>
      <c r="G1475" s="58" t="s">
        <v>164</v>
      </c>
      <c r="H1475" s="22">
        <f>8</f>
        <v>8</v>
      </c>
      <c r="I1475" s="68">
        <f>Table1[[#This Row],[Total Weight Imported (lbs)]]*0.453592</f>
        <v>3.628736</v>
      </c>
      <c r="J1475" s="55">
        <f>266</f>
        <v>266</v>
      </c>
      <c r="K1475" s="50"/>
      <c r="L1475" s="72"/>
      <c r="M1475" s="72"/>
      <c r="N1475" s="72"/>
      <c r="O1475" s="72"/>
      <c r="P1475" s="72"/>
      <c r="Q1475" s="72"/>
      <c r="R1475" s="72"/>
      <c r="S1475" s="72"/>
      <c r="T1475" s="72"/>
      <c r="U1475" s="72"/>
      <c r="V1475" s="72"/>
      <c r="W1475" s="72"/>
      <c r="X1475" s="72"/>
      <c r="Y1475" s="72"/>
      <c r="Z1475" s="72"/>
      <c r="AA1475" s="72"/>
      <c r="AB1475" s="72"/>
      <c r="AC1475" s="72"/>
      <c r="AD1475" s="72"/>
      <c r="AE1475" s="72"/>
      <c r="AF1475" s="72"/>
    </row>
    <row r="1476" spans="1:32" ht="15.75" customHeight="1">
      <c r="A1476" s="71" t="s">
        <v>289</v>
      </c>
      <c r="B1476" s="71" t="s">
        <v>14</v>
      </c>
      <c r="C1476" s="71" t="s">
        <v>14</v>
      </c>
      <c r="D1476" s="71" t="str">
        <f>VLOOKUP(Table1[[#This Row],[Point of Origin]],Table2[#All],2,0)</f>
        <v>USA</v>
      </c>
      <c r="E1476" s="71" t="str">
        <f>VLOOKUP(Table1[[#This Row],[Point of Origin]],Table2[#All],3,0)</f>
        <v>Domestic</v>
      </c>
      <c r="F1476" s="73" t="s">
        <v>137</v>
      </c>
      <c r="G1476" s="58" t="s">
        <v>138</v>
      </c>
      <c r="H1476" s="22">
        <f>18</f>
        <v>18</v>
      </c>
      <c r="I1476" s="68">
        <f>Table1[[#This Row],[Total Weight Imported (lbs)]]*0.453592</f>
        <v>8.1646560000000008</v>
      </c>
      <c r="J1476" s="55">
        <f>495</f>
        <v>495</v>
      </c>
      <c r="K1476" s="2"/>
      <c r="L1476" s="72"/>
      <c r="M1476" s="72"/>
      <c r="N1476" s="72"/>
      <c r="O1476" s="72"/>
      <c r="P1476" s="72"/>
      <c r="Q1476" s="72"/>
      <c r="R1476" s="72"/>
      <c r="S1476" s="72"/>
      <c r="T1476" s="72"/>
      <c r="U1476" s="72"/>
      <c r="V1476" s="72"/>
      <c r="W1476" s="72"/>
      <c r="X1476" s="72"/>
      <c r="Y1476" s="72"/>
      <c r="Z1476" s="72"/>
      <c r="AA1476" s="72"/>
      <c r="AB1476" s="72"/>
      <c r="AC1476" s="72"/>
      <c r="AD1476" s="72"/>
      <c r="AE1476" s="72"/>
      <c r="AF1476" s="72"/>
    </row>
    <row r="1477" spans="1:32" ht="15.75" customHeight="1">
      <c r="A1477" s="71" t="s">
        <v>289</v>
      </c>
      <c r="B1477" s="71" t="s">
        <v>14</v>
      </c>
      <c r="C1477" s="71" t="s">
        <v>14</v>
      </c>
      <c r="D1477" s="71" t="str">
        <f>VLOOKUP(Table1[[#This Row],[Point of Origin]],Table2[#All],2,0)</f>
        <v>USA</v>
      </c>
      <c r="E1477" s="71" t="str">
        <f>VLOOKUP(Table1[[#This Row],[Point of Origin]],Table2[#All],3,0)</f>
        <v>Domestic</v>
      </c>
      <c r="F1477" s="71" t="s">
        <v>43</v>
      </c>
      <c r="G1477" s="58" t="s">
        <v>44</v>
      </c>
      <c r="H1477" s="22">
        <f>40</f>
        <v>40</v>
      </c>
      <c r="I1477" s="68">
        <f>Table1[[#This Row],[Total Weight Imported (lbs)]]*0.453592</f>
        <v>18.14368</v>
      </c>
      <c r="J1477" s="55">
        <f>1840</f>
        <v>1840</v>
      </c>
      <c r="K1477" s="50"/>
      <c r="L1477" s="72"/>
      <c r="M1477" s="72"/>
      <c r="N1477" s="72"/>
      <c r="O1477" s="72"/>
      <c r="P1477" s="72"/>
      <c r="Q1477" s="72"/>
      <c r="R1477" s="72"/>
      <c r="S1477" s="72"/>
      <c r="T1477" s="72"/>
      <c r="U1477" s="72"/>
      <c r="V1477" s="72"/>
      <c r="W1477" s="72"/>
      <c r="X1477" s="72"/>
      <c r="Y1477" s="72"/>
      <c r="Z1477" s="72"/>
      <c r="AA1477" s="72"/>
      <c r="AB1477" s="72"/>
      <c r="AC1477" s="72"/>
      <c r="AD1477" s="72"/>
      <c r="AE1477" s="72"/>
      <c r="AF1477" s="72"/>
    </row>
    <row r="1478" spans="1:32" ht="15.75" customHeight="1">
      <c r="A1478" s="42" t="s">
        <v>292</v>
      </c>
      <c r="B1478" s="46" t="s">
        <v>293</v>
      </c>
      <c r="C1478" s="46" t="s">
        <v>293</v>
      </c>
      <c r="D1478" s="46" t="str">
        <f>VLOOKUP(Table1[[#This Row],[Point of Origin]],Table2[#All],2,0)</f>
        <v>CNMI</v>
      </c>
      <c r="E1478" s="46" t="str">
        <f>VLOOKUP(Table1[[#This Row],[Point of Origin]],Table2[#All],3,0)</f>
        <v>International</v>
      </c>
      <c r="F1478" s="46" t="s">
        <v>294</v>
      </c>
      <c r="G1478" s="58" t="s">
        <v>295</v>
      </c>
      <c r="H1478" s="22">
        <v>173</v>
      </c>
      <c r="I1478" s="68">
        <f>Table1[[#This Row],[Total Weight Imported (lbs)]]*0.453592</f>
        <v>78.471416000000005</v>
      </c>
      <c r="J1478" s="55">
        <v>121.1</v>
      </c>
      <c r="K1478" s="41"/>
    </row>
    <row r="1479" spans="1:32" ht="15.75" customHeight="1">
      <c r="A1479" s="42" t="s">
        <v>292</v>
      </c>
      <c r="B1479" s="46" t="s">
        <v>293</v>
      </c>
      <c r="C1479" s="46" t="s">
        <v>293</v>
      </c>
      <c r="D1479" s="46" t="str">
        <f>VLOOKUP(Table1[[#This Row],[Point of Origin]],Table2[#All],2,0)</f>
        <v>CNMI</v>
      </c>
      <c r="E1479" s="46" t="str">
        <f>VLOOKUP(Table1[[#This Row],[Point of Origin]],Table2[#All],3,0)</f>
        <v>International</v>
      </c>
      <c r="F1479" s="46" t="s">
        <v>296</v>
      </c>
      <c r="G1479" s="58" t="s">
        <v>174</v>
      </c>
      <c r="H1479" s="22">
        <v>17</v>
      </c>
      <c r="I1479" s="68">
        <f>Table1[[#This Row],[Total Weight Imported (lbs)]]*0.453592</f>
        <v>7.7110640000000004</v>
      </c>
      <c r="J1479" s="55">
        <v>21.25</v>
      </c>
      <c r="K1479" s="41"/>
    </row>
    <row r="1480" spans="1:32" ht="15.75" customHeight="1">
      <c r="A1480" s="64" t="s">
        <v>297</v>
      </c>
      <c r="B1480" s="64" t="s">
        <v>293</v>
      </c>
      <c r="C1480" s="64" t="s">
        <v>293</v>
      </c>
      <c r="D1480" s="64" t="str">
        <f>VLOOKUP(Table1[[#This Row],[Point of Origin]],Table2[#All],2,0)</f>
        <v>CNMI</v>
      </c>
      <c r="E1480" s="64" t="str">
        <f>VLOOKUP(Table1[[#This Row],[Point of Origin]],Table2[#All],3,0)</f>
        <v>International</v>
      </c>
      <c r="F1480" s="64" t="s">
        <v>84</v>
      </c>
      <c r="G1480" s="58" t="s">
        <v>85</v>
      </c>
      <c r="H1480" s="22">
        <v>31</v>
      </c>
      <c r="I1480" s="68">
        <f>Table1[[#This Row],[Total Weight Imported (lbs)]]*0.453592</f>
        <v>14.061351999999999</v>
      </c>
      <c r="J1480" s="55">
        <v>38.75</v>
      </c>
      <c r="K1480" s="1"/>
    </row>
    <row r="1481" spans="1:32" ht="15.75" customHeight="1">
      <c r="A1481" s="64" t="s">
        <v>297</v>
      </c>
      <c r="B1481" s="64" t="s">
        <v>293</v>
      </c>
      <c r="C1481" s="64" t="s">
        <v>293</v>
      </c>
      <c r="D1481" s="64" t="str">
        <f>VLOOKUP(Table1[[#This Row],[Point of Origin]],Table2[#All],2,0)</f>
        <v>CNMI</v>
      </c>
      <c r="E1481" s="64" t="str">
        <f>VLOOKUP(Table1[[#This Row],[Point of Origin]],Table2[#All],3,0)</f>
        <v>International</v>
      </c>
      <c r="F1481" s="64" t="s">
        <v>61</v>
      </c>
      <c r="G1481" s="58" t="s">
        <v>62</v>
      </c>
      <c r="H1481" s="22">
        <v>5.5</v>
      </c>
      <c r="I1481" s="68">
        <f>Table1[[#This Row],[Total Weight Imported (lbs)]]*0.453592</f>
        <v>2.4947559999999998</v>
      </c>
      <c r="J1481" s="55">
        <v>46.75</v>
      </c>
      <c r="K1481" s="41"/>
    </row>
    <row r="1482" spans="1:32" ht="15.75" customHeight="1">
      <c r="A1482" s="64" t="s">
        <v>297</v>
      </c>
      <c r="B1482" s="64" t="s">
        <v>293</v>
      </c>
      <c r="C1482" s="64" t="s">
        <v>293</v>
      </c>
      <c r="D1482" s="64" t="str">
        <f>VLOOKUP(Table1[[#This Row],[Point of Origin]],Table2[#All],2,0)</f>
        <v>CNMI</v>
      </c>
      <c r="E1482" s="64" t="str">
        <f>VLOOKUP(Table1[[#This Row],[Point of Origin]],Table2[#All],3,0)</f>
        <v>International</v>
      </c>
      <c r="F1482" s="65" t="s">
        <v>204</v>
      </c>
      <c r="G1482" s="58" t="s">
        <v>32</v>
      </c>
      <c r="H1482" s="22">
        <v>53</v>
      </c>
      <c r="I1482" s="68">
        <f>Table1[[#This Row],[Total Weight Imported (lbs)]]*0.453592</f>
        <v>24.040375999999998</v>
      </c>
      <c r="J1482" s="55">
        <v>79.5</v>
      </c>
      <c r="K1482" s="41"/>
    </row>
    <row r="1483" spans="1:32" ht="15.75" customHeight="1">
      <c r="A1483" s="64" t="s">
        <v>297</v>
      </c>
      <c r="B1483" s="64" t="s">
        <v>293</v>
      </c>
      <c r="C1483" s="64" t="s">
        <v>293</v>
      </c>
      <c r="D1483" s="64" t="str">
        <f>VLOOKUP(Table1[[#This Row],[Point of Origin]],Table2[#All],2,0)</f>
        <v>CNMI</v>
      </c>
      <c r="E1483" s="64" t="str">
        <f>VLOOKUP(Table1[[#This Row],[Point of Origin]],Table2[#All],3,0)</f>
        <v>International</v>
      </c>
      <c r="F1483" s="65" t="s">
        <v>294</v>
      </c>
      <c r="G1483" s="58" t="s">
        <v>295</v>
      </c>
      <c r="H1483" s="22">
        <v>407</v>
      </c>
      <c r="I1483" s="68">
        <f>Table1[[#This Row],[Total Weight Imported (lbs)]]*0.453592</f>
        <v>184.61194399999999</v>
      </c>
      <c r="J1483" s="55">
        <v>284.89999999999998</v>
      </c>
      <c r="K1483" s="41"/>
    </row>
    <row r="1484" spans="1:32" ht="15.75" customHeight="1">
      <c r="A1484" s="64" t="s">
        <v>297</v>
      </c>
      <c r="B1484" s="64" t="s">
        <v>293</v>
      </c>
      <c r="C1484" s="64" t="s">
        <v>293</v>
      </c>
      <c r="D1484" s="64" t="str">
        <f>VLOOKUP(Table1[[#This Row],[Point of Origin]],Table2[#All],2,0)</f>
        <v>CNMI</v>
      </c>
      <c r="E1484" s="64" t="str">
        <f>VLOOKUP(Table1[[#This Row],[Point of Origin]],Table2[#All],3,0)</f>
        <v>International</v>
      </c>
      <c r="F1484" s="65" t="s">
        <v>298</v>
      </c>
      <c r="G1484" s="58" t="s">
        <v>202</v>
      </c>
      <c r="H1484" s="22">
        <v>32</v>
      </c>
      <c r="I1484" s="68">
        <f>Table1[[#This Row],[Total Weight Imported (lbs)]]*0.453592</f>
        <v>14.514944</v>
      </c>
      <c r="J1484" s="55">
        <v>25.6</v>
      </c>
      <c r="K1484" s="41"/>
    </row>
    <row r="1485" spans="1:32" ht="15.75" customHeight="1">
      <c r="A1485" s="64" t="s">
        <v>297</v>
      </c>
      <c r="B1485" s="64" t="s">
        <v>293</v>
      </c>
      <c r="C1485" s="64" t="s">
        <v>293</v>
      </c>
      <c r="D1485" s="64" t="str">
        <f>VLOOKUP(Table1[[#This Row],[Point of Origin]],Table2[#All],2,0)</f>
        <v>CNMI</v>
      </c>
      <c r="E1485" s="64" t="str">
        <f>VLOOKUP(Table1[[#This Row],[Point of Origin]],Table2[#All],3,0)</f>
        <v>International</v>
      </c>
      <c r="F1485" s="65" t="s">
        <v>299</v>
      </c>
      <c r="G1485" s="58" t="s">
        <v>202</v>
      </c>
      <c r="H1485" s="22">
        <v>10</v>
      </c>
      <c r="I1485" s="68">
        <f>Table1[[#This Row],[Total Weight Imported (lbs)]]*0.453592</f>
        <v>4.53592</v>
      </c>
      <c r="J1485" s="55">
        <v>6</v>
      </c>
      <c r="K1485" s="41"/>
    </row>
    <row r="1486" spans="1:32" ht="15.75" customHeight="1">
      <c r="A1486" s="64" t="s">
        <v>297</v>
      </c>
      <c r="B1486" s="64" t="s">
        <v>293</v>
      </c>
      <c r="C1486" s="64" t="s">
        <v>293</v>
      </c>
      <c r="D1486" s="64" t="str">
        <f>VLOOKUP(Table1[[#This Row],[Point of Origin]],Table2[#All],2,0)</f>
        <v>CNMI</v>
      </c>
      <c r="E1486" s="64" t="str">
        <f>VLOOKUP(Table1[[#This Row],[Point of Origin]],Table2[#All],3,0)</f>
        <v>International</v>
      </c>
      <c r="F1486" s="65" t="s">
        <v>300</v>
      </c>
      <c r="G1486" s="58" t="s">
        <v>202</v>
      </c>
      <c r="H1486" s="22">
        <v>34</v>
      </c>
      <c r="I1486" s="68">
        <f>Table1[[#This Row],[Total Weight Imported (lbs)]]*0.453592</f>
        <v>15.422128000000001</v>
      </c>
      <c r="J1486" s="55">
        <v>34</v>
      </c>
      <c r="K1486" s="41"/>
    </row>
    <row r="1487" spans="1:32" ht="15.75" customHeight="1">
      <c r="A1487" s="64" t="s">
        <v>297</v>
      </c>
      <c r="B1487" s="64" t="s">
        <v>293</v>
      </c>
      <c r="C1487" s="64" t="s">
        <v>293</v>
      </c>
      <c r="D1487" s="64" t="str">
        <f>VLOOKUP(Table1[[#This Row],[Point of Origin]],Table2[#All],2,0)</f>
        <v>CNMI</v>
      </c>
      <c r="E1487" s="64" t="str">
        <f>VLOOKUP(Table1[[#This Row],[Point of Origin]],Table2[#All],3,0)</f>
        <v>International</v>
      </c>
      <c r="F1487" s="65" t="s">
        <v>301</v>
      </c>
      <c r="G1487" s="58" t="s">
        <v>302</v>
      </c>
      <c r="H1487" s="22">
        <v>11</v>
      </c>
      <c r="I1487" s="68">
        <f>Table1[[#This Row],[Total Weight Imported (lbs)]]*0.453592</f>
        <v>4.9895119999999995</v>
      </c>
      <c r="J1487" s="55">
        <v>8</v>
      </c>
      <c r="K1487" s="1"/>
    </row>
    <row r="1488" spans="1:32" ht="15.75" customHeight="1">
      <c r="A1488" s="42" t="s">
        <v>303</v>
      </c>
      <c r="B1488" s="46" t="s">
        <v>293</v>
      </c>
      <c r="C1488" s="46" t="s">
        <v>293</v>
      </c>
      <c r="D1488" s="46" t="str">
        <f>VLOOKUP(Table1[[#This Row],[Point of Origin]],Table2[#All],2,0)</f>
        <v>CNMI</v>
      </c>
      <c r="E1488" s="46" t="str">
        <f>VLOOKUP(Table1[[#This Row],[Point of Origin]],Table2[#All],3,0)</f>
        <v>International</v>
      </c>
      <c r="F1488" s="46" t="s">
        <v>300</v>
      </c>
      <c r="G1488" s="58" t="s">
        <v>202</v>
      </c>
      <c r="H1488" s="22">
        <v>20</v>
      </c>
      <c r="I1488" s="68">
        <f>Table1[[#This Row],[Total Weight Imported (lbs)]]*0.453592</f>
        <v>9.0718399999999999</v>
      </c>
      <c r="J1488" s="55">
        <v>25</v>
      </c>
      <c r="K1488" s="41"/>
    </row>
    <row r="1489" spans="1:11" ht="15.75" customHeight="1">
      <c r="A1489" s="64" t="s">
        <v>304</v>
      </c>
      <c r="B1489" s="64" t="s">
        <v>293</v>
      </c>
      <c r="C1489" s="64" t="s">
        <v>293</v>
      </c>
      <c r="D1489" s="64" t="str">
        <f>VLOOKUP(Table1[[#This Row],[Point of Origin]],Table2[#All],2,0)</f>
        <v>CNMI</v>
      </c>
      <c r="E1489" s="64" t="str">
        <f>VLOOKUP(Table1[[#This Row],[Point of Origin]],Table2[#All],3,0)</f>
        <v>International</v>
      </c>
      <c r="F1489" s="64" t="s">
        <v>84</v>
      </c>
      <c r="G1489" s="58" t="s">
        <v>85</v>
      </c>
      <c r="H1489" s="22">
        <v>45</v>
      </c>
      <c r="I1489" s="68">
        <f>Table1[[#This Row],[Total Weight Imported (lbs)]]*0.453592</f>
        <v>20.411639999999998</v>
      </c>
      <c r="J1489" s="55">
        <v>45</v>
      </c>
      <c r="K1489" s="1"/>
    </row>
    <row r="1490" spans="1:11" ht="15.75" customHeight="1">
      <c r="A1490" s="64" t="s">
        <v>304</v>
      </c>
      <c r="B1490" s="64" t="s">
        <v>293</v>
      </c>
      <c r="C1490" s="64" t="s">
        <v>293</v>
      </c>
      <c r="D1490" s="64" t="str">
        <f>VLOOKUP(Table1[[#This Row],[Point of Origin]],Table2[#All],2,0)</f>
        <v>CNMI</v>
      </c>
      <c r="E1490" s="64" t="str">
        <f>VLOOKUP(Table1[[#This Row],[Point of Origin]],Table2[#All],3,0)</f>
        <v>International</v>
      </c>
      <c r="F1490" s="65" t="s">
        <v>294</v>
      </c>
      <c r="G1490" s="58" t="s">
        <v>295</v>
      </c>
      <c r="H1490" s="22">
        <v>869</v>
      </c>
      <c r="I1490" s="68">
        <f>Table1[[#This Row],[Total Weight Imported (lbs)]]*0.453592</f>
        <v>394.171448</v>
      </c>
      <c r="J1490" s="55">
        <v>608.29999999999995</v>
      </c>
      <c r="K1490" s="41"/>
    </row>
    <row r="1491" spans="1:11" ht="15.75" customHeight="1">
      <c r="A1491" s="64" t="s">
        <v>304</v>
      </c>
      <c r="B1491" s="64" t="s">
        <v>293</v>
      </c>
      <c r="C1491" s="64" t="s">
        <v>293</v>
      </c>
      <c r="D1491" s="64" t="str">
        <f>VLOOKUP(Table1[[#This Row],[Point of Origin]],Table2[#All],2,0)</f>
        <v>CNMI</v>
      </c>
      <c r="E1491" s="64" t="str">
        <f>VLOOKUP(Table1[[#This Row],[Point of Origin]],Table2[#All],3,0)</f>
        <v>International</v>
      </c>
      <c r="F1491" s="65" t="s">
        <v>299</v>
      </c>
      <c r="G1491" s="58" t="s">
        <v>202</v>
      </c>
      <c r="H1491" s="22">
        <v>91</v>
      </c>
      <c r="I1491" s="68">
        <f>Table1[[#This Row],[Total Weight Imported (lbs)]]*0.453592</f>
        <v>41.276871999999997</v>
      </c>
      <c r="J1491" s="55">
        <v>63.7</v>
      </c>
      <c r="K1491" s="41"/>
    </row>
    <row r="1492" spans="1:11" ht="15.75" customHeight="1">
      <c r="A1492" s="64" t="s">
        <v>304</v>
      </c>
      <c r="B1492" s="64" t="s">
        <v>293</v>
      </c>
      <c r="C1492" s="64" t="s">
        <v>293</v>
      </c>
      <c r="D1492" s="64" t="str">
        <f>VLOOKUP(Table1[[#This Row],[Point of Origin]],Table2[#All],2,0)</f>
        <v>CNMI</v>
      </c>
      <c r="E1492" s="64" t="str">
        <f>VLOOKUP(Table1[[#This Row],[Point of Origin]],Table2[#All],3,0)</f>
        <v>International</v>
      </c>
      <c r="F1492" s="65" t="s">
        <v>298</v>
      </c>
      <c r="G1492" s="58" t="s">
        <v>202</v>
      </c>
      <c r="H1492" s="22">
        <v>282</v>
      </c>
      <c r="I1492" s="68">
        <f>Table1[[#This Row],[Total Weight Imported (lbs)]]*0.453592</f>
        <v>127.912944</v>
      </c>
      <c r="J1492" s="55">
        <v>225.6</v>
      </c>
      <c r="K1492" s="41"/>
    </row>
    <row r="1493" spans="1:11" ht="15.75" customHeight="1">
      <c r="A1493" s="64" t="s">
        <v>304</v>
      </c>
      <c r="B1493" s="64" t="s">
        <v>293</v>
      </c>
      <c r="C1493" s="64" t="s">
        <v>293</v>
      </c>
      <c r="D1493" s="64" t="str">
        <f>VLOOKUP(Table1[[#This Row],[Point of Origin]],Table2[#All],2,0)</f>
        <v>CNMI</v>
      </c>
      <c r="E1493" s="64" t="str">
        <f>VLOOKUP(Table1[[#This Row],[Point of Origin]],Table2[#All],3,0)</f>
        <v>International</v>
      </c>
      <c r="F1493" s="65" t="s">
        <v>300</v>
      </c>
      <c r="G1493" s="58" t="s">
        <v>202</v>
      </c>
      <c r="H1493" s="22">
        <v>15</v>
      </c>
      <c r="I1493" s="68">
        <f>Table1[[#This Row],[Total Weight Imported (lbs)]]*0.453592</f>
        <v>6.8038799999999995</v>
      </c>
      <c r="J1493" s="55">
        <v>15</v>
      </c>
      <c r="K1493" s="41"/>
    </row>
    <row r="1494" spans="1:11" ht="15.75" customHeight="1">
      <c r="A1494" s="64" t="s">
        <v>304</v>
      </c>
      <c r="B1494" s="64" t="s">
        <v>293</v>
      </c>
      <c r="C1494" s="64" t="s">
        <v>293</v>
      </c>
      <c r="D1494" s="64" t="str">
        <f>VLOOKUP(Table1[[#This Row],[Point of Origin]],Table2[#All],2,0)</f>
        <v>CNMI</v>
      </c>
      <c r="E1494" s="64" t="str">
        <f>VLOOKUP(Table1[[#This Row],[Point of Origin]],Table2[#All],3,0)</f>
        <v>International</v>
      </c>
      <c r="F1494" s="64" t="s">
        <v>210</v>
      </c>
      <c r="G1494" s="58" t="s">
        <v>211</v>
      </c>
      <c r="H1494" s="22">
        <v>33</v>
      </c>
      <c r="I1494" s="68">
        <f>Table1[[#This Row],[Total Weight Imported (lbs)]]*0.453592</f>
        <v>14.968536</v>
      </c>
      <c r="J1494" s="55">
        <v>49.5</v>
      </c>
      <c r="K1494" s="41"/>
    </row>
    <row r="1495" spans="1:11" ht="15.75" customHeight="1">
      <c r="A1495" s="42" t="s">
        <v>305</v>
      </c>
      <c r="B1495" s="46" t="s">
        <v>306</v>
      </c>
      <c r="C1495" s="46" t="s">
        <v>306</v>
      </c>
      <c r="D1495" s="46" t="str">
        <f>VLOOKUP(Table1[[#This Row],[Point of Origin]],Table2[#All],2,0)</f>
        <v>CNMI</v>
      </c>
      <c r="E1495" s="46" t="str">
        <f>VLOOKUP(Table1[[#This Row],[Point of Origin]],Table2[#All],3,0)</f>
        <v>International</v>
      </c>
      <c r="F1495" s="56" t="s">
        <v>23</v>
      </c>
      <c r="G1495" s="58" t="s">
        <v>24</v>
      </c>
      <c r="H1495" s="22">
        <v>324</v>
      </c>
      <c r="I1495" s="68">
        <f>Table1[[#This Row],[Total Weight Imported (lbs)]]*0.453592</f>
        <v>146.963808</v>
      </c>
      <c r="J1495" s="55">
        <v>324</v>
      </c>
      <c r="K1495" s="1"/>
    </row>
    <row r="1496" spans="1:11" ht="15.75" customHeight="1">
      <c r="A1496" s="42" t="s">
        <v>305</v>
      </c>
      <c r="B1496" s="46" t="s">
        <v>306</v>
      </c>
      <c r="C1496" s="46" t="s">
        <v>306</v>
      </c>
      <c r="D1496" s="46" t="str">
        <f>VLOOKUP(Table1[[#This Row],[Point of Origin]],Table2[#All],2,0)</f>
        <v>CNMI</v>
      </c>
      <c r="E1496" s="46" t="str">
        <f>VLOOKUP(Table1[[#This Row],[Point of Origin]],Table2[#All],3,0)</f>
        <v>International</v>
      </c>
      <c r="F1496" s="47" t="s">
        <v>204</v>
      </c>
      <c r="G1496" s="58" t="s">
        <v>32</v>
      </c>
      <c r="H1496" s="22">
        <v>38</v>
      </c>
      <c r="I1496" s="68">
        <f>Table1[[#This Row],[Total Weight Imported (lbs)]]*0.453592</f>
        <v>17.236495999999999</v>
      </c>
      <c r="J1496" s="55">
        <v>38</v>
      </c>
      <c r="K1496" s="41"/>
    </row>
    <row r="1497" spans="1:11" ht="15.75" customHeight="1">
      <c r="A1497" s="64" t="s">
        <v>307</v>
      </c>
      <c r="B1497" s="64" t="s">
        <v>306</v>
      </c>
      <c r="C1497" s="64" t="s">
        <v>306</v>
      </c>
      <c r="D1497" s="64" t="str">
        <f>VLOOKUP(Table1[[#This Row],[Point of Origin]],Table2[#All],2,0)</f>
        <v>CNMI</v>
      </c>
      <c r="E1497" s="64" t="str">
        <f>VLOOKUP(Table1[[#This Row],[Point of Origin]],Table2[#All],3,0)</f>
        <v>International</v>
      </c>
      <c r="F1497" s="56" t="s">
        <v>23</v>
      </c>
      <c r="G1497" s="58" t="s">
        <v>24</v>
      </c>
      <c r="H1497" s="22">
        <v>200</v>
      </c>
      <c r="I1497" s="68">
        <f>Table1[[#This Row],[Total Weight Imported (lbs)]]*0.453592</f>
        <v>90.718400000000003</v>
      </c>
      <c r="J1497" s="55">
        <v>200</v>
      </c>
      <c r="K1497" s="1"/>
    </row>
    <row r="1498" spans="1:11" ht="15.75" customHeight="1">
      <c r="A1498" s="64" t="s">
        <v>307</v>
      </c>
      <c r="B1498" s="64" t="s">
        <v>306</v>
      </c>
      <c r="C1498" s="64" t="s">
        <v>306</v>
      </c>
      <c r="D1498" s="64" t="str">
        <f>VLOOKUP(Table1[[#This Row],[Point of Origin]],Table2[#All],2,0)</f>
        <v>CNMI</v>
      </c>
      <c r="E1498" s="64" t="str">
        <f>VLOOKUP(Table1[[#This Row],[Point of Origin]],Table2[#All],3,0)</f>
        <v>International</v>
      </c>
      <c r="F1498" s="64" t="s">
        <v>17</v>
      </c>
      <c r="G1498" s="58" t="s">
        <v>18</v>
      </c>
      <c r="H1498" s="22">
        <v>50</v>
      </c>
      <c r="I1498" s="68">
        <f>Table1[[#This Row],[Total Weight Imported (lbs)]]*0.453592</f>
        <v>22.679600000000001</v>
      </c>
      <c r="J1498" s="55">
        <v>50</v>
      </c>
      <c r="K1498" s="1"/>
    </row>
    <row r="1499" spans="1:11" ht="15.75" customHeight="1">
      <c r="A1499" s="64" t="s">
        <v>307</v>
      </c>
      <c r="B1499" s="64" t="s">
        <v>306</v>
      </c>
      <c r="C1499" s="64" t="s">
        <v>306</v>
      </c>
      <c r="D1499" s="64" t="str">
        <f>VLOOKUP(Table1[[#This Row],[Point of Origin]],Table2[#All],2,0)</f>
        <v>CNMI</v>
      </c>
      <c r="E1499" s="64" t="str">
        <f>VLOOKUP(Table1[[#This Row],[Point of Origin]],Table2[#All],3,0)</f>
        <v>International</v>
      </c>
      <c r="F1499" s="64" t="s">
        <v>84</v>
      </c>
      <c r="G1499" s="58" t="s">
        <v>85</v>
      </c>
      <c r="H1499" s="22">
        <v>52</v>
      </c>
      <c r="I1499" s="68">
        <f>Table1[[#This Row],[Total Weight Imported (lbs)]]*0.453592</f>
        <v>23.586784000000002</v>
      </c>
      <c r="J1499" s="55">
        <v>52</v>
      </c>
      <c r="K1499" s="1"/>
    </row>
    <row r="1500" spans="1:11" ht="15.75" customHeight="1">
      <c r="A1500" s="64" t="s">
        <v>307</v>
      </c>
      <c r="B1500" s="64" t="s">
        <v>306</v>
      </c>
      <c r="C1500" s="64" t="s">
        <v>306</v>
      </c>
      <c r="D1500" s="64" t="str">
        <f>VLOOKUP(Table1[[#This Row],[Point of Origin]],Table2[#All],2,0)</f>
        <v>CNMI</v>
      </c>
      <c r="E1500" s="64" t="str">
        <f>VLOOKUP(Table1[[#This Row],[Point of Origin]],Table2[#All],3,0)</f>
        <v>International</v>
      </c>
      <c r="F1500" s="65" t="s">
        <v>228</v>
      </c>
      <c r="G1500" s="58" t="s">
        <v>127</v>
      </c>
      <c r="H1500" s="22">
        <v>32</v>
      </c>
      <c r="I1500" s="68">
        <f>Table1[[#This Row],[Total Weight Imported (lbs)]]*0.453592</f>
        <v>14.514944</v>
      </c>
      <c r="J1500" s="55">
        <v>32</v>
      </c>
      <c r="K1500" s="1"/>
    </row>
    <row r="1501" spans="1:11" ht="15.75" customHeight="1">
      <c r="A1501" s="42" t="s">
        <v>308</v>
      </c>
      <c r="B1501" s="46" t="s">
        <v>28</v>
      </c>
      <c r="C1501" s="46" t="s">
        <v>14</v>
      </c>
      <c r="D1501" s="46" t="str">
        <f>VLOOKUP(Table1[[#This Row],[Point of Origin]],Table2[#All],2,0)</f>
        <v>USA</v>
      </c>
      <c r="E1501" s="46" t="str">
        <f>VLOOKUP(Table1[[#This Row],[Point of Origin]],Table2[#All],3,0)</f>
        <v>Domestic</v>
      </c>
      <c r="F1501" s="46" t="s">
        <v>141</v>
      </c>
      <c r="G1501" s="58" t="s">
        <v>142</v>
      </c>
      <c r="H1501" s="22">
        <v>150</v>
      </c>
      <c r="I1501" s="68">
        <f>Table1[[#This Row],[Total Weight Imported (lbs)]]*0.453592</f>
        <v>68.038799999999995</v>
      </c>
      <c r="J1501" s="55">
        <v>98.25</v>
      </c>
      <c r="K1501" s="1"/>
    </row>
    <row r="1502" spans="1:11" ht="15.75" customHeight="1">
      <c r="A1502" s="42" t="s">
        <v>308</v>
      </c>
      <c r="B1502" s="46" t="s">
        <v>28</v>
      </c>
      <c r="C1502" s="46" t="s">
        <v>14</v>
      </c>
      <c r="D1502" s="46" t="str">
        <f>VLOOKUP(Table1[[#This Row],[Point of Origin]],Table2[#All],2,0)</f>
        <v>USA</v>
      </c>
      <c r="E1502" s="46" t="str">
        <f>VLOOKUP(Table1[[#This Row],[Point of Origin]],Table2[#All],3,0)</f>
        <v>Domestic</v>
      </c>
      <c r="F1502" s="46" t="s">
        <v>38</v>
      </c>
      <c r="G1502" s="58" t="s">
        <v>39</v>
      </c>
      <c r="H1502" s="22">
        <v>75</v>
      </c>
      <c r="I1502" s="68">
        <f>Table1[[#This Row],[Total Weight Imported (lbs)]]*0.453592</f>
        <v>34.019399999999997</v>
      </c>
      <c r="J1502" s="55">
        <v>128.25</v>
      </c>
      <c r="K1502" s="1"/>
    </row>
    <row r="1503" spans="1:11" ht="15.75" customHeight="1">
      <c r="A1503" s="42" t="s">
        <v>308</v>
      </c>
      <c r="B1503" s="46" t="s">
        <v>28</v>
      </c>
      <c r="C1503" s="46" t="s">
        <v>14</v>
      </c>
      <c r="D1503" s="46" t="str">
        <f>VLOOKUP(Table1[[#This Row],[Point of Origin]],Table2[#All],2,0)</f>
        <v>USA</v>
      </c>
      <c r="E1503" s="46" t="str">
        <f>VLOOKUP(Table1[[#This Row],[Point of Origin]],Table2[#All],3,0)</f>
        <v>Domestic</v>
      </c>
      <c r="F1503" s="46" t="s">
        <v>38</v>
      </c>
      <c r="G1503" s="58" t="s">
        <v>39</v>
      </c>
      <c r="H1503" s="22">
        <v>125</v>
      </c>
      <c r="I1503" s="68">
        <f>Table1[[#This Row],[Total Weight Imported (lbs)]]*0.453592</f>
        <v>56.698999999999998</v>
      </c>
      <c r="J1503" s="55">
        <v>213.75</v>
      </c>
      <c r="K1503" s="1"/>
    </row>
    <row r="1504" spans="1:11" ht="15.75" customHeight="1">
      <c r="A1504" s="42" t="s">
        <v>308</v>
      </c>
      <c r="B1504" s="46" t="s">
        <v>28</v>
      </c>
      <c r="C1504" s="46" t="s">
        <v>14</v>
      </c>
      <c r="D1504" s="46" t="str">
        <f>VLOOKUP(Table1[[#This Row],[Point of Origin]],Table2[#All],2,0)</f>
        <v>USA</v>
      </c>
      <c r="E1504" s="46" t="str">
        <f>VLOOKUP(Table1[[#This Row],[Point of Origin]],Table2[#All],3,0)</f>
        <v>Domestic</v>
      </c>
      <c r="F1504" s="47" t="s">
        <v>58</v>
      </c>
      <c r="G1504" s="58" t="s">
        <v>34</v>
      </c>
      <c r="H1504" s="22">
        <v>16</v>
      </c>
      <c r="I1504" s="68">
        <f>Table1[[#This Row],[Total Weight Imported (lbs)]]*0.453592</f>
        <v>7.2574719999999999</v>
      </c>
      <c r="J1504" s="55">
        <v>81.5</v>
      </c>
      <c r="K1504" s="1"/>
    </row>
    <row r="1505" spans="1:11" ht="15.75" customHeight="1">
      <c r="A1505" s="42" t="s">
        <v>308</v>
      </c>
      <c r="B1505" s="46" t="s">
        <v>28</v>
      </c>
      <c r="C1505" s="46" t="s">
        <v>14</v>
      </c>
      <c r="D1505" s="46" t="str">
        <f>VLOOKUP(Table1[[#This Row],[Point of Origin]],Table2[#All],2,0)</f>
        <v>USA</v>
      </c>
      <c r="E1505" s="46" t="str">
        <f>VLOOKUP(Table1[[#This Row],[Point of Origin]],Table2[#All],3,0)</f>
        <v>Domestic</v>
      </c>
      <c r="F1505" s="46" t="s">
        <v>76</v>
      </c>
      <c r="G1505" s="58" t="s">
        <v>77</v>
      </c>
      <c r="H1505" s="22">
        <v>500</v>
      </c>
      <c r="I1505" s="68">
        <f>Table1[[#This Row],[Total Weight Imported (lbs)]]*0.453592</f>
        <v>226.79599999999999</v>
      </c>
      <c r="J1505" s="55">
        <v>313.5</v>
      </c>
      <c r="K1505" s="1"/>
    </row>
    <row r="1506" spans="1:11" ht="15.75" customHeight="1">
      <c r="A1506" s="42" t="s">
        <v>308</v>
      </c>
      <c r="B1506" s="46" t="s">
        <v>28</v>
      </c>
      <c r="C1506" s="46" t="s">
        <v>14</v>
      </c>
      <c r="D1506" s="46" t="str">
        <f>VLOOKUP(Table1[[#This Row],[Point of Origin]],Table2[#All],2,0)</f>
        <v>USA</v>
      </c>
      <c r="E1506" s="46" t="str">
        <f>VLOOKUP(Table1[[#This Row],[Point of Origin]],Table2[#All],3,0)</f>
        <v>Domestic</v>
      </c>
      <c r="F1506" s="46" t="s">
        <v>76</v>
      </c>
      <c r="G1506" s="58" t="s">
        <v>77</v>
      </c>
      <c r="H1506" s="22">
        <v>150</v>
      </c>
      <c r="I1506" s="68">
        <f>Table1[[#This Row],[Total Weight Imported (lbs)]]*0.453592</f>
        <v>68.038799999999995</v>
      </c>
      <c r="J1506" s="55">
        <v>90</v>
      </c>
      <c r="K1506" s="1"/>
    </row>
    <row r="1507" spans="1:11" ht="15.75" customHeight="1">
      <c r="A1507" s="42" t="s">
        <v>308</v>
      </c>
      <c r="B1507" s="46" t="s">
        <v>28</v>
      </c>
      <c r="C1507" s="46" t="s">
        <v>14</v>
      </c>
      <c r="D1507" s="46" t="str">
        <f>VLOOKUP(Table1[[#This Row],[Point of Origin]],Table2[#All],2,0)</f>
        <v>USA</v>
      </c>
      <c r="E1507" s="46" t="str">
        <f>VLOOKUP(Table1[[#This Row],[Point of Origin]],Table2[#All],3,0)</f>
        <v>Domestic</v>
      </c>
      <c r="F1507" s="46" t="s">
        <v>76</v>
      </c>
      <c r="G1507" s="58" t="s">
        <v>77</v>
      </c>
      <c r="H1507" s="22">
        <v>24</v>
      </c>
      <c r="I1507" s="68">
        <f>Table1[[#This Row],[Total Weight Imported (lbs)]]*0.453592</f>
        <v>10.886208</v>
      </c>
      <c r="J1507" s="55">
        <v>122.25</v>
      </c>
      <c r="K1507" s="1"/>
    </row>
    <row r="1508" spans="1:11" ht="15.75" customHeight="1">
      <c r="A1508" s="42" t="s">
        <v>308</v>
      </c>
      <c r="B1508" s="46" t="s">
        <v>28</v>
      </c>
      <c r="C1508" s="46" t="s">
        <v>14</v>
      </c>
      <c r="D1508" s="46" t="str">
        <f>VLOOKUP(Table1[[#This Row],[Point of Origin]],Table2[#All],2,0)</f>
        <v>USA</v>
      </c>
      <c r="E1508" s="46" t="str">
        <f>VLOOKUP(Table1[[#This Row],[Point of Origin]],Table2[#All],3,0)</f>
        <v>Domestic</v>
      </c>
      <c r="F1508" s="46" t="s">
        <v>76</v>
      </c>
      <c r="G1508" s="58" t="s">
        <v>77</v>
      </c>
      <c r="H1508" s="22">
        <v>25</v>
      </c>
      <c r="I1508" s="68">
        <f>Table1[[#This Row],[Total Weight Imported (lbs)]]*0.453592</f>
        <v>11.3398</v>
      </c>
      <c r="J1508" s="55">
        <v>29</v>
      </c>
      <c r="K1508" s="1"/>
    </row>
    <row r="1509" spans="1:11" ht="15.75" customHeight="1">
      <c r="A1509" s="42" t="s">
        <v>308</v>
      </c>
      <c r="B1509" s="46" t="s">
        <v>28</v>
      </c>
      <c r="C1509" s="46" t="s">
        <v>14</v>
      </c>
      <c r="D1509" s="46" t="str">
        <f>VLOOKUP(Table1[[#This Row],[Point of Origin]],Table2[#All],2,0)</f>
        <v>USA</v>
      </c>
      <c r="E1509" s="46" t="str">
        <f>VLOOKUP(Table1[[#This Row],[Point of Origin]],Table2[#All],3,0)</f>
        <v>Domestic</v>
      </c>
      <c r="F1509" s="46" t="s">
        <v>76</v>
      </c>
      <c r="G1509" s="58" t="s">
        <v>77</v>
      </c>
      <c r="H1509" s="22">
        <v>750</v>
      </c>
      <c r="I1509" s="68">
        <f>Table1[[#This Row],[Total Weight Imported (lbs)]]*0.453592</f>
        <v>340.19400000000002</v>
      </c>
      <c r="J1509" s="55">
        <v>470.25</v>
      </c>
      <c r="K1509" s="1"/>
    </row>
    <row r="1510" spans="1:11" ht="15.75" customHeight="1">
      <c r="A1510" s="42" t="s">
        <v>308</v>
      </c>
      <c r="B1510" s="46" t="s">
        <v>28</v>
      </c>
      <c r="C1510" s="46" t="s">
        <v>14</v>
      </c>
      <c r="D1510" s="46" t="str">
        <f>VLOOKUP(Table1[[#This Row],[Point of Origin]],Table2[#All],2,0)</f>
        <v>USA</v>
      </c>
      <c r="E1510" s="46" t="str">
        <f>VLOOKUP(Table1[[#This Row],[Point of Origin]],Table2[#All],3,0)</f>
        <v>Domestic</v>
      </c>
      <c r="F1510" s="46" t="s">
        <v>76</v>
      </c>
      <c r="G1510" s="58" t="s">
        <v>77</v>
      </c>
      <c r="H1510" s="22">
        <v>150</v>
      </c>
      <c r="I1510" s="68">
        <f>Table1[[#This Row],[Total Weight Imported (lbs)]]*0.453592</f>
        <v>68.038799999999995</v>
      </c>
      <c r="J1510" s="55">
        <v>90</v>
      </c>
      <c r="K1510" s="1"/>
    </row>
    <row r="1511" spans="1:11" ht="15.75" customHeight="1">
      <c r="A1511" s="42" t="s">
        <v>308</v>
      </c>
      <c r="B1511" s="46" t="s">
        <v>28</v>
      </c>
      <c r="C1511" s="46" t="s">
        <v>14</v>
      </c>
      <c r="D1511" s="46" t="str">
        <f>VLOOKUP(Table1[[#This Row],[Point of Origin]],Table2[#All],2,0)</f>
        <v>USA</v>
      </c>
      <c r="E1511" s="46" t="str">
        <f>VLOOKUP(Table1[[#This Row],[Point of Origin]],Table2[#All],3,0)</f>
        <v>Domestic</v>
      </c>
      <c r="F1511" s="46" t="s">
        <v>19</v>
      </c>
      <c r="G1511" s="58" t="s">
        <v>20</v>
      </c>
      <c r="H1511" s="22">
        <v>66</v>
      </c>
      <c r="I1511" s="68">
        <f>Table1[[#This Row],[Total Weight Imported (lbs)]]*0.453592</f>
        <v>29.937072000000001</v>
      </c>
      <c r="J1511" s="55">
        <v>104.25</v>
      </c>
      <c r="K1511" s="41"/>
    </row>
    <row r="1512" spans="1:11" ht="15.75" customHeight="1">
      <c r="A1512" s="42" t="s">
        <v>308</v>
      </c>
      <c r="B1512" s="46" t="s">
        <v>28</v>
      </c>
      <c r="C1512" s="46" t="s">
        <v>14</v>
      </c>
      <c r="D1512" s="46" t="str">
        <f>VLOOKUP(Table1[[#This Row],[Point of Origin]],Table2[#All],2,0)</f>
        <v>USA</v>
      </c>
      <c r="E1512" s="46" t="str">
        <f>VLOOKUP(Table1[[#This Row],[Point of Origin]],Table2[#All],3,0)</f>
        <v>Domestic</v>
      </c>
      <c r="F1512" s="46" t="s">
        <v>79</v>
      </c>
      <c r="G1512" s="58" t="s">
        <v>80</v>
      </c>
      <c r="H1512" s="22">
        <v>25</v>
      </c>
      <c r="I1512" s="68">
        <f>Table1[[#This Row],[Total Weight Imported (lbs)]]*0.453592</f>
        <v>11.3398</v>
      </c>
      <c r="J1512" s="55">
        <v>30.75</v>
      </c>
      <c r="K1512" s="1"/>
    </row>
    <row r="1513" spans="1:11" ht="15.75" customHeight="1">
      <c r="A1513" s="42" t="s">
        <v>308</v>
      </c>
      <c r="B1513" s="46" t="s">
        <v>28</v>
      </c>
      <c r="C1513" s="46" t="s">
        <v>14</v>
      </c>
      <c r="D1513" s="46" t="str">
        <f>VLOOKUP(Table1[[#This Row],[Point of Origin]],Table2[#All],2,0)</f>
        <v>USA</v>
      </c>
      <c r="E1513" s="46" t="str">
        <f>VLOOKUP(Table1[[#This Row],[Point of Origin]],Table2[#All],3,0)</f>
        <v>Domestic</v>
      </c>
      <c r="F1513" s="46" t="s">
        <v>79</v>
      </c>
      <c r="G1513" s="58" t="s">
        <v>80</v>
      </c>
      <c r="H1513" s="22">
        <v>50</v>
      </c>
      <c r="I1513" s="68">
        <f>Table1[[#This Row],[Total Weight Imported (lbs)]]*0.453592</f>
        <v>22.679600000000001</v>
      </c>
      <c r="J1513" s="55">
        <v>61.5</v>
      </c>
      <c r="K1513" s="1"/>
    </row>
    <row r="1514" spans="1:11" ht="15.75" customHeight="1">
      <c r="A1514" s="42" t="s">
        <v>308</v>
      </c>
      <c r="B1514" s="46" t="s">
        <v>28</v>
      </c>
      <c r="C1514" s="46" t="s">
        <v>14</v>
      </c>
      <c r="D1514" s="46" t="str">
        <f>VLOOKUP(Table1[[#This Row],[Point of Origin]],Table2[#All],2,0)</f>
        <v>USA</v>
      </c>
      <c r="E1514" s="46" t="str">
        <f>VLOOKUP(Table1[[#This Row],[Point of Origin]],Table2[#All],3,0)</f>
        <v>Domestic</v>
      </c>
      <c r="F1514" s="46" t="s">
        <v>19</v>
      </c>
      <c r="G1514" s="58" t="s">
        <v>20</v>
      </c>
      <c r="H1514" s="22">
        <v>60</v>
      </c>
      <c r="I1514" s="68">
        <f>Table1[[#This Row],[Total Weight Imported (lbs)]]*0.453592</f>
        <v>27.215519999999998</v>
      </c>
      <c r="J1514" s="55">
        <v>101.25</v>
      </c>
      <c r="K1514" s="41"/>
    </row>
    <row r="1515" spans="1:11" ht="15.75" customHeight="1">
      <c r="A1515" s="42" t="s">
        <v>308</v>
      </c>
      <c r="B1515" s="46" t="s">
        <v>28</v>
      </c>
      <c r="C1515" s="46" t="s">
        <v>14</v>
      </c>
      <c r="D1515" s="46" t="str">
        <f>VLOOKUP(Table1[[#This Row],[Point of Origin]],Table2[#All],2,0)</f>
        <v>USA</v>
      </c>
      <c r="E1515" s="46" t="str">
        <f>VLOOKUP(Table1[[#This Row],[Point of Origin]],Table2[#All],3,0)</f>
        <v>Domestic</v>
      </c>
      <c r="F1515" s="46" t="s">
        <v>59</v>
      </c>
      <c r="G1515" s="58" t="s">
        <v>60</v>
      </c>
      <c r="H1515" s="22">
        <v>90</v>
      </c>
      <c r="I1515" s="68">
        <f>Table1[[#This Row],[Total Weight Imported (lbs)]]*0.453592</f>
        <v>40.823279999999997</v>
      </c>
      <c r="J1515" s="55">
        <v>69.5</v>
      </c>
      <c r="K1515" s="41"/>
    </row>
    <row r="1516" spans="1:11" ht="15.75" customHeight="1">
      <c r="A1516" s="42" t="s">
        <v>308</v>
      </c>
      <c r="B1516" s="46" t="s">
        <v>28</v>
      </c>
      <c r="C1516" s="46" t="s">
        <v>14</v>
      </c>
      <c r="D1516" s="46" t="str">
        <f>VLOOKUP(Table1[[#This Row],[Point of Origin]],Table2[#All],2,0)</f>
        <v>USA</v>
      </c>
      <c r="E1516" s="46" t="str">
        <f>VLOOKUP(Table1[[#This Row],[Point of Origin]],Table2[#All],3,0)</f>
        <v>Domestic</v>
      </c>
      <c r="F1516" s="46" t="s">
        <v>59</v>
      </c>
      <c r="G1516" s="58" t="s">
        <v>60</v>
      </c>
      <c r="H1516" s="22">
        <v>180</v>
      </c>
      <c r="I1516" s="68">
        <f>Table1[[#This Row],[Total Weight Imported (lbs)]]*0.453592</f>
        <v>81.646559999999994</v>
      </c>
      <c r="J1516" s="55">
        <v>159</v>
      </c>
      <c r="K1516" s="41"/>
    </row>
    <row r="1517" spans="1:11" ht="15.75" customHeight="1">
      <c r="A1517" s="42" t="s">
        <v>308</v>
      </c>
      <c r="B1517" s="46" t="s">
        <v>28</v>
      </c>
      <c r="C1517" s="46" t="s">
        <v>14</v>
      </c>
      <c r="D1517" s="46" t="str">
        <f>VLOOKUP(Table1[[#This Row],[Point of Origin]],Table2[#All],2,0)</f>
        <v>USA</v>
      </c>
      <c r="E1517" s="46" t="str">
        <f>VLOOKUP(Table1[[#This Row],[Point of Origin]],Table2[#All],3,0)</f>
        <v>Domestic</v>
      </c>
      <c r="F1517" s="46" t="s">
        <v>59</v>
      </c>
      <c r="G1517" s="58" t="s">
        <v>60</v>
      </c>
      <c r="H1517" s="22">
        <v>245</v>
      </c>
      <c r="I1517" s="68">
        <f>Table1[[#This Row],[Total Weight Imported (lbs)]]*0.453592</f>
        <v>111.13003999999999</v>
      </c>
      <c r="J1517" s="55">
        <v>250.25</v>
      </c>
      <c r="K1517" s="41"/>
    </row>
    <row r="1518" spans="1:11" ht="15.75" customHeight="1">
      <c r="A1518" s="42" t="s">
        <v>308</v>
      </c>
      <c r="B1518" s="46" t="s">
        <v>28</v>
      </c>
      <c r="C1518" s="46" t="s">
        <v>14</v>
      </c>
      <c r="D1518" s="46" t="str">
        <f>VLOOKUP(Table1[[#This Row],[Point of Origin]],Table2[#All],2,0)</f>
        <v>USA</v>
      </c>
      <c r="E1518" s="46" t="str">
        <f>VLOOKUP(Table1[[#This Row],[Point of Origin]],Table2[#All],3,0)</f>
        <v>Domestic</v>
      </c>
      <c r="F1518" s="46" t="s">
        <v>59</v>
      </c>
      <c r="G1518" s="58" t="s">
        <v>60</v>
      </c>
      <c r="H1518" s="22">
        <v>350</v>
      </c>
      <c r="I1518" s="68">
        <f>Table1[[#This Row],[Total Weight Imported (lbs)]]*0.453592</f>
        <v>158.75720000000001</v>
      </c>
      <c r="J1518" s="55">
        <v>397.5</v>
      </c>
      <c r="K1518" s="41"/>
    </row>
    <row r="1519" spans="1:11" ht="15.75" customHeight="1">
      <c r="A1519" s="42" t="s">
        <v>308</v>
      </c>
      <c r="B1519" s="46" t="s">
        <v>28</v>
      </c>
      <c r="C1519" s="46" t="s">
        <v>14</v>
      </c>
      <c r="D1519" s="46" t="str">
        <f>VLOOKUP(Table1[[#This Row],[Point of Origin]],Table2[#All],2,0)</f>
        <v>USA</v>
      </c>
      <c r="E1519" s="46" t="str">
        <f>VLOOKUP(Table1[[#This Row],[Point of Origin]],Table2[#All],3,0)</f>
        <v>Domestic</v>
      </c>
      <c r="F1519" s="46" t="s">
        <v>40</v>
      </c>
      <c r="G1519" s="58" t="s">
        <v>41</v>
      </c>
      <c r="H1519" s="22">
        <v>100</v>
      </c>
      <c r="I1519" s="68">
        <f>Table1[[#This Row],[Total Weight Imported (lbs)]]*0.453592</f>
        <v>45.359200000000001</v>
      </c>
      <c r="J1519" s="55">
        <v>87.5</v>
      </c>
      <c r="K1519" s="41"/>
    </row>
    <row r="1520" spans="1:11" ht="15.75" customHeight="1">
      <c r="A1520" s="42" t="s">
        <v>308</v>
      </c>
      <c r="B1520" s="46" t="s">
        <v>28</v>
      </c>
      <c r="C1520" s="46" t="s">
        <v>14</v>
      </c>
      <c r="D1520" s="46" t="str">
        <f>VLOOKUP(Table1[[#This Row],[Point of Origin]],Table2[#All],2,0)</f>
        <v>USA</v>
      </c>
      <c r="E1520" s="46" t="str">
        <f>VLOOKUP(Table1[[#This Row],[Point of Origin]],Table2[#All],3,0)</f>
        <v>Domestic</v>
      </c>
      <c r="F1520" s="46" t="s">
        <v>40</v>
      </c>
      <c r="G1520" s="58" t="s">
        <v>41</v>
      </c>
      <c r="H1520" s="22">
        <v>100</v>
      </c>
      <c r="I1520" s="68">
        <f>Table1[[#This Row],[Total Weight Imported (lbs)]]*0.453592</f>
        <v>45.359200000000001</v>
      </c>
      <c r="J1520" s="55">
        <v>87.5</v>
      </c>
      <c r="K1520" s="41"/>
    </row>
    <row r="1521" spans="1:11" ht="15.75" customHeight="1">
      <c r="A1521" s="42" t="s">
        <v>308</v>
      </c>
      <c r="B1521" s="46" t="s">
        <v>28</v>
      </c>
      <c r="C1521" s="46" t="s">
        <v>14</v>
      </c>
      <c r="D1521" s="46" t="str">
        <f>VLOOKUP(Table1[[#This Row],[Point of Origin]],Table2[#All],2,0)</f>
        <v>USA</v>
      </c>
      <c r="E1521" s="46" t="str">
        <f>VLOOKUP(Table1[[#This Row],[Point of Origin]],Table2[#All],3,0)</f>
        <v>Domestic</v>
      </c>
      <c r="F1521" s="47" t="s">
        <v>169</v>
      </c>
      <c r="G1521" s="58" t="s">
        <v>170</v>
      </c>
      <c r="H1521" s="22">
        <v>10</v>
      </c>
      <c r="I1521" s="68">
        <f>Table1[[#This Row],[Total Weight Imported (lbs)]]*0.453592</f>
        <v>4.53592</v>
      </c>
      <c r="J1521" s="55">
        <v>37.75</v>
      </c>
      <c r="K1521" s="41"/>
    </row>
    <row r="1522" spans="1:11" ht="15.75" customHeight="1">
      <c r="A1522" s="42" t="s">
        <v>308</v>
      </c>
      <c r="B1522" s="46" t="s">
        <v>28</v>
      </c>
      <c r="C1522" s="46" t="s">
        <v>14</v>
      </c>
      <c r="D1522" s="46" t="str">
        <f>VLOOKUP(Table1[[#This Row],[Point of Origin]],Table2[#All],2,0)</f>
        <v>USA</v>
      </c>
      <c r="E1522" s="46" t="str">
        <f>VLOOKUP(Table1[[#This Row],[Point of Origin]],Table2[#All],3,0)</f>
        <v>Domestic</v>
      </c>
      <c r="F1522" s="47" t="s">
        <v>169</v>
      </c>
      <c r="G1522" s="58" t="s">
        <v>170</v>
      </c>
      <c r="H1522" s="22">
        <v>10</v>
      </c>
      <c r="I1522" s="68">
        <f>Table1[[#This Row],[Total Weight Imported (lbs)]]*0.453592</f>
        <v>4.53592</v>
      </c>
      <c r="J1522" s="55">
        <v>37.75</v>
      </c>
      <c r="K1522" s="41"/>
    </row>
    <row r="1523" spans="1:11" ht="15.75" customHeight="1">
      <c r="A1523" s="42" t="s">
        <v>308</v>
      </c>
      <c r="B1523" s="46" t="s">
        <v>28</v>
      </c>
      <c r="C1523" s="46" t="s">
        <v>14</v>
      </c>
      <c r="D1523" s="46" t="str">
        <f>VLOOKUP(Table1[[#This Row],[Point of Origin]],Table2[#All],2,0)</f>
        <v>USA</v>
      </c>
      <c r="E1523" s="46" t="str">
        <f>VLOOKUP(Table1[[#This Row],[Point of Origin]],Table2[#All],3,0)</f>
        <v>Domestic</v>
      </c>
      <c r="F1523" s="46" t="s">
        <v>56</v>
      </c>
      <c r="G1523" s="58" t="s">
        <v>57</v>
      </c>
      <c r="H1523" s="22">
        <v>60</v>
      </c>
      <c r="I1523" s="68">
        <f>Table1[[#This Row],[Total Weight Imported (lbs)]]*0.453592</f>
        <v>27.215519999999998</v>
      </c>
      <c r="J1523" s="55">
        <v>35.75</v>
      </c>
      <c r="K1523" s="41"/>
    </row>
    <row r="1524" spans="1:11" ht="15.75" customHeight="1">
      <c r="A1524" s="42" t="s">
        <v>308</v>
      </c>
      <c r="B1524" s="46" t="s">
        <v>28</v>
      </c>
      <c r="C1524" s="46" t="s">
        <v>14</v>
      </c>
      <c r="D1524" s="46" t="str">
        <f>VLOOKUP(Table1[[#This Row],[Point of Origin]],Table2[#All],2,0)</f>
        <v>USA</v>
      </c>
      <c r="E1524" s="46" t="str">
        <f>VLOOKUP(Table1[[#This Row],[Point of Origin]],Table2[#All],3,0)</f>
        <v>Domestic</v>
      </c>
      <c r="F1524" s="46" t="s">
        <v>56</v>
      </c>
      <c r="G1524" s="58" t="s">
        <v>57</v>
      </c>
      <c r="H1524" s="22">
        <v>60</v>
      </c>
      <c r="I1524" s="68">
        <f>Table1[[#This Row],[Total Weight Imported (lbs)]]*0.453592</f>
        <v>27.215519999999998</v>
      </c>
      <c r="J1524" s="55">
        <v>35.75</v>
      </c>
      <c r="K1524" s="41"/>
    </row>
    <row r="1525" spans="1:11" ht="15.75" customHeight="1">
      <c r="A1525" s="42" t="s">
        <v>308</v>
      </c>
      <c r="B1525" s="46" t="s">
        <v>28</v>
      </c>
      <c r="C1525" s="46" t="s">
        <v>14</v>
      </c>
      <c r="D1525" s="46" t="str">
        <f>VLOOKUP(Table1[[#This Row],[Point of Origin]],Table2[#All],2,0)</f>
        <v>USA</v>
      </c>
      <c r="E1525" s="46" t="str">
        <f>VLOOKUP(Table1[[#This Row],[Point of Origin]],Table2[#All],3,0)</f>
        <v>Domestic</v>
      </c>
      <c r="F1525" s="46" t="s">
        <v>36</v>
      </c>
      <c r="G1525" s="58" t="s">
        <v>37</v>
      </c>
      <c r="H1525" s="22">
        <v>48</v>
      </c>
      <c r="I1525" s="68">
        <f>Table1[[#This Row],[Total Weight Imported (lbs)]]*0.453592</f>
        <v>21.772416</v>
      </c>
      <c r="J1525" s="55">
        <v>264</v>
      </c>
      <c r="K1525" s="1"/>
    </row>
    <row r="1526" spans="1:11" ht="15.75" customHeight="1">
      <c r="A1526" s="42" t="s">
        <v>308</v>
      </c>
      <c r="B1526" s="46" t="s">
        <v>28</v>
      </c>
      <c r="C1526" s="46" t="s">
        <v>14</v>
      </c>
      <c r="D1526" s="46" t="str">
        <f>VLOOKUP(Table1[[#This Row],[Point of Origin]],Table2[#All],2,0)</f>
        <v>USA</v>
      </c>
      <c r="E1526" s="46" t="str">
        <f>VLOOKUP(Table1[[#This Row],[Point of Origin]],Table2[#All],3,0)</f>
        <v>Domestic</v>
      </c>
      <c r="F1526" s="46" t="s">
        <v>36</v>
      </c>
      <c r="G1526" s="58" t="s">
        <v>37</v>
      </c>
      <c r="H1526" s="22">
        <v>60</v>
      </c>
      <c r="I1526" s="68">
        <f>Table1[[#This Row],[Total Weight Imported (lbs)]]*0.453592</f>
        <v>27.215519999999998</v>
      </c>
      <c r="J1526" s="55">
        <v>330</v>
      </c>
      <c r="K1526" s="1"/>
    </row>
    <row r="1527" spans="1:11" ht="15.75" customHeight="1">
      <c r="A1527" s="42" t="s">
        <v>308</v>
      </c>
      <c r="B1527" s="46" t="s">
        <v>28</v>
      </c>
      <c r="C1527" s="46" t="s">
        <v>14</v>
      </c>
      <c r="D1527" s="46" t="str">
        <f>VLOOKUP(Table1[[#This Row],[Point of Origin]],Table2[#All],2,0)</f>
        <v>USA</v>
      </c>
      <c r="E1527" s="46" t="str">
        <f>VLOOKUP(Table1[[#This Row],[Point of Origin]],Table2[#All],3,0)</f>
        <v>Domestic</v>
      </c>
      <c r="F1527" s="46" t="s">
        <v>61</v>
      </c>
      <c r="G1527" s="58" t="s">
        <v>62</v>
      </c>
      <c r="H1527" s="22">
        <v>19.5</v>
      </c>
      <c r="I1527" s="68">
        <f>Table1[[#This Row],[Total Weight Imported (lbs)]]*0.453592</f>
        <v>8.8450439999999997</v>
      </c>
      <c r="J1527" s="55">
        <v>44.75</v>
      </c>
      <c r="K1527" s="41"/>
    </row>
    <row r="1528" spans="1:11" ht="15.75" customHeight="1">
      <c r="A1528" s="42" t="s">
        <v>308</v>
      </c>
      <c r="B1528" s="46" t="s">
        <v>28</v>
      </c>
      <c r="C1528" s="46" t="s">
        <v>14</v>
      </c>
      <c r="D1528" s="46" t="str">
        <f>VLOOKUP(Table1[[#This Row],[Point of Origin]],Table2[#All],2,0)</f>
        <v>USA</v>
      </c>
      <c r="E1528" s="46" t="str">
        <f>VLOOKUP(Table1[[#This Row],[Point of Origin]],Table2[#All],3,0)</f>
        <v>Domestic</v>
      </c>
      <c r="F1528" s="46" t="s">
        <v>61</v>
      </c>
      <c r="G1528" s="58" t="s">
        <v>62</v>
      </c>
      <c r="H1528" s="22">
        <v>25</v>
      </c>
      <c r="I1528" s="68">
        <f>Table1[[#This Row],[Total Weight Imported (lbs)]]*0.453592</f>
        <v>11.3398</v>
      </c>
      <c r="J1528" s="55">
        <v>43.75</v>
      </c>
      <c r="K1528" s="41"/>
    </row>
    <row r="1529" spans="1:11" ht="15.75" customHeight="1">
      <c r="A1529" s="42" t="s">
        <v>308</v>
      </c>
      <c r="B1529" s="46" t="s">
        <v>28</v>
      </c>
      <c r="C1529" s="46" t="s">
        <v>14</v>
      </c>
      <c r="D1529" s="46" t="str">
        <f>VLOOKUP(Table1[[#This Row],[Point of Origin]],Table2[#All],2,0)</f>
        <v>USA</v>
      </c>
      <c r="E1529" s="46" t="str">
        <f>VLOOKUP(Table1[[#This Row],[Point of Origin]],Table2[#All],3,0)</f>
        <v>Domestic</v>
      </c>
      <c r="F1529" s="47" t="s">
        <v>102</v>
      </c>
      <c r="G1529" s="58" t="s">
        <v>32</v>
      </c>
      <c r="H1529" s="22">
        <v>15</v>
      </c>
      <c r="I1529" s="68">
        <f>Table1[[#This Row],[Total Weight Imported (lbs)]]*0.453592</f>
        <v>6.8038799999999995</v>
      </c>
      <c r="J1529" s="55">
        <v>37.75</v>
      </c>
      <c r="K1529" s="41"/>
    </row>
    <row r="1530" spans="1:11" ht="15.75" customHeight="1">
      <c r="A1530" s="42" t="s">
        <v>308</v>
      </c>
      <c r="B1530" s="46" t="s">
        <v>28</v>
      </c>
      <c r="C1530" s="46" t="s">
        <v>14</v>
      </c>
      <c r="D1530" s="46" t="str">
        <f>VLOOKUP(Table1[[#This Row],[Point of Origin]],Table2[#All],2,0)</f>
        <v>USA</v>
      </c>
      <c r="E1530" s="46" t="str">
        <f>VLOOKUP(Table1[[#This Row],[Point of Origin]],Table2[#All],3,0)</f>
        <v>Domestic</v>
      </c>
      <c r="F1530" s="46" t="s">
        <v>63</v>
      </c>
      <c r="G1530" s="58" t="s">
        <v>64</v>
      </c>
      <c r="H1530" s="22">
        <v>22</v>
      </c>
      <c r="I1530" s="68">
        <f>Table1[[#This Row],[Total Weight Imported (lbs)]]*0.453592</f>
        <v>9.979023999999999</v>
      </c>
      <c r="J1530" s="55">
        <v>30.75</v>
      </c>
      <c r="K1530" s="1"/>
    </row>
    <row r="1531" spans="1:11" ht="15.75" customHeight="1">
      <c r="A1531" s="42" t="s">
        <v>308</v>
      </c>
      <c r="B1531" s="46" t="s">
        <v>28</v>
      </c>
      <c r="C1531" s="46" t="s">
        <v>14</v>
      </c>
      <c r="D1531" s="46" t="str">
        <f>VLOOKUP(Table1[[#This Row],[Point of Origin]],Table2[#All],2,0)</f>
        <v>USA</v>
      </c>
      <c r="E1531" s="46" t="str">
        <f>VLOOKUP(Table1[[#This Row],[Point of Origin]],Table2[#All],3,0)</f>
        <v>Domestic</v>
      </c>
      <c r="F1531" s="47" t="s">
        <v>102</v>
      </c>
      <c r="G1531" s="58" t="s">
        <v>32</v>
      </c>
      <c r="H1531" s="22">
        <v>6</v>
      </c>
      <c r="I1531" s="68">
        <f>Table1[[#This Row],[Total Weight Imported (lbs)]]*0.453592</f>
        <v>2.721552</v>
      </c>
      <c r="J1531" s="55">
        <v>25.36</v>
      </c>
      <c r="K1531" s="41"/>
    </row>
    <row r="1532" spans="1:11" ht="15.75" customHeight="1">
      <c r="A1532" s="42" t="s">
        <v>308</v>
      </c>
      <c r="B1532" s="46" t="s">
        <v>28</v>
      </c>
      <c r="C1532" s="46" t="s">
        <v>14</v>
      </c>
      <c r="D1532" s="46" t="str">
        <f>VLOOKUP(Table1[[#This Row],[Point of Origin]],Table2[#All],2,0)</f>
        <v>USA</v>
      </c>
      <c r="E1532" s="46" t="str">
        <f>VLOOKUP(Table1[[#This Row],[Point of Origin]],Table2[#All],3,0)</f>
        <v>Domestic</v>
      </c>
      <c r="F1532" s="46" t="s">
        <v>63</v>
      </c>
      <c r="G1532" s="58" t="s">
        <v>64</v>
      </c>
      <c r="H1532" s="22">
        <v>44</v>
      </c>
      <c r="I1532" s="68">
        <f>Table1[[#This Row],[Total Weight Imported (lbs)]]*0.453592</f>
        <v>19.958047999999998</v>
      </c>
      <c r="J1532" s="55">
        <v>61.5</v>
      </c>
      <c r="K1532" s="1"/>
    </row>
    <row r="1533" spans="1:11" ht="15.75" customHeight="1">
      <c r="A1533" s="42" t="s">
        <v>308</v>
      </c>
      <c r="B1533" s="46" t="s">
        <v>28</v>
      </c>
      <c r="C1533" s="46" t="s">
        <v>14</v>
      </c>
      <c r="D1533" s="46" t="str">
        <f>VLOOKUP(Table1[[#This Row],[Point of Origin]],Table2[#All],2,0)</f>
        <v>USA</v>
      </c>
      <c r="E1533" s="46" t="str">
        <f>VLOOKUP(Table1[[#This Row],[Point of Origin]],Table2[#All],3,0)</f>
        <v>Domestic</v>
      </c>
      <c r="F1533" s="46" t="s">
        <v>43</v>
      </c>
      <c r="G1533" s="58" t="s">
        <v>44</v>
      </c>
      <c r="H1533" s="22">
        <v>228</v>
      </c>
      <c r="I1533" s="68">
        <f>Table1[[#This Row],[Total Weight Imported (lbs)]]*0.453592</f>
        <v>103.418976</v>
      </c>
      <c r="J1533" s="55">
        <v>350.7</v>
      </c>
      <c r="K1533" s="41"/>
    </row>
    <row r="1534" spans="1:11" ht="15.75" customHeight="1">
      <c r="A1534" s="42" t="s">
        <v>308</v>
      </c>
      <c r="B1534" s="46" t="s">
        <v>28</v>
      </c>
      <c r="C1534" s="46" t="s">
        <v>14</v>
      </c>
      <c r="D1534" s="46" t="str">
        <f>VLOOKUP(Table1[[#This Row],[Point of Origin]],Table2[#All],2,0)</f>
        <v>USA</v>
      </c>
      <c r="E1534" s="46" t="str">
        <f>VLOOKUP(Table1[[#This Row],[Point of Origin]],Table2[#All],3,0)</f>
        <v>Domestic</v>
      </c>
      <c r="F1534" s="47" t="s">
        <v>137</v>
      </c>
      <c r="G1534" s="58" t="s">
        <v>138</v>
      </c>
      <c r="H1534" s="22">
        <v>114</v>
      </c>
      <c r="I1534" s="68">
        <f>Table1[[#This Row],[Total Weight Imported (lbs)]]*0.453592</f>
        <v>51.709488</v>
      </c>
      <c r="J1534" s="55">
        <v>131.25</v>
      </c>
      <c r="K1534" s="1"/>
    </row>
    <row r="1535" spans="1:11" ht="15.75" customHeight="1">
      <c r="A1535" s="42" t="s">
        <v>308</v>
      </c>
      <c r="B1535" s="46" t="s">
        <v>28</v>
      </c>
      <c r="C1535" s="46" t="s">
        <v>14</v>
      </c>
      <c r="D1535" s="46" t="str">
        <f>VLOOKUP(Table1[[#This Row],[Point of Origin]],Table2[#All],2,0)</f>
        <v>USA</v>
      </c>
      <c r="E1535" s="46" t="str">
        <f>VLOOKUP(Table1[[#This Row],[Point of Origin]],Table2[#All],3,0)</f>
        <v>Domestic</v>
      </c>
      <c r="F1535" s="47" t="s">
        <v>137</v>
      </c>
      <c r="G1535" s="58" t="s">
        <v>138</v>
      </c>
      <c r="H1535" s="22">
        <v>190</v>
      </c>
      <c r="I1535" s="68">
        <f>Table1[[#This Row],[Total Weight Imported (lbs)]]*0.453592</f>
        <v>86.182479999999998</v>
      </c>
      <c r="J1535" s="55">
        <v>218.75</v>
      </c>
      <c r="K1535" s="1"/>
    </row>
    <row r="1536" spans="1:11" ht="15.75" customHeight="1">
      <c r="A1536" s="42" t="s">
        <v>308</v>
      </c>
      <c r="B1536" s="46" t="s">
        <v>28</v>
      </c>
      <c r="C1536" s="46" t="s">
        <v>14</v>
      </c>
      <c r="D1536" s="46" t="str">
        <f>VLOOKUP(Table1[[#This Row],[Point of Origin]],Table2[#All],2,0)</f>
        <v>USA</v>
      </c>
      <c r="E1536" s="46" t="str">
        <f>VLOOKUP(Table1[[#This Row],[Point of Origin]],Table2[#All],3,0)</f>
        <v>Domestic</v>
      </c>
      <c r="F1536" s="47" t="s">
        <v>137</v>
      </c>
      <c r="G1536" s="58" t="s">
        <v>138</v>
      </c>
      <c r="H1536" s="22">
        <v>190</v>
      </c>
      <c r="I1536" s="68">
        <f>Table1[[#This Row],[Total Weight Imported (lbs)]]*0.453592</f>
        <v>86.182479999999998</v>
      </c>
      <c r="J1536" s="55">
        <v>208.75</v>
      </c>
      <c r="K1536" s="1"/>
    </row>
    <row r="1537" spans="1:11" ht="15.75" customHeight="1">
      <c r="A1537" s="42" t="s">
        <v>308</v>
      </c>
      <c r="B1537" s="46" t="s">
        <v>28</v>
      </c>
      <c r="C1537" s="46" t="s">
        <v>14</v>
      </c>
      <c r="D1537" s="46" t="str">
        <f>VLOOKUP(Table1[[#This Row],[Point of Origin]],Table2[#All],2,0)</f>
        <v>USA</v>
      </c>
      <c r="E1537" s="46" t="str">
        <f>VLOOKUP(Table1[[#This Row],[Point of Origin]],Table2[#All],3,0)</f>
        <v>Domestic</v>
      </c>
      <c r="F1537" s="46" t="s">
        <v>71</v>
      </c>
      <c r="G1537" s="58" t="s">
        <v>72</v>
      </c>
      <c r="H1537" s="22">
        <v>76</v>
      </c>
      <c r="I1537" s="68">
        <f>Table1[[#This Row],[Total Weight Imported (lbs)]]*0.453592</f>
        <v>34.472991999999998</v>
      </c>
      <c r="J1537" s="55">
        <v>175</v>
      </c>
      <c r="K1537" s="41"/>
    </row>
    <row r="1538" spans="1:11" ht="15.75" customHeight="1">
      <c r="A1538" s="42" t="s">
        <v>308</v>
      </c>
      <c r="B1538" s="46" t="s">
        <v>28</v>
      </c>
      <c r="C1538" s="46" t="s">
        <v>14</v>
      </c>
      <c r="D1538" s="46" t="str">
        <f>VLOOKUP(Table1[[#This Row],[Point of Origin]],Table2[#All],2,0)</f>
        <v>USA</v>
      </c>
      <c r="E1538" s="46" t="str">
        <f>VLOOKUP(Table1[[#This Row],[Point of Origin]],Table2[#All],3,0)</f>
        <v>Domestic</v>
      </c>
      <c r="F1538" s="46" t="s">
        <v>71</v>
      </c>
      <c r="G1538" s="58" t="s">
        <v>72</v>
      </c>
      <c r="H1538" s="22">
        <v>38</v>
      </c>
      <c r="I1538" s="68">
        <f>Table1[[#This Row],[Total Weight Imported (lbs)]]*0.453592</f>
        <v>17.236495999999999</v>
      </c>
      <c r="J1538" s="55">
        <v>87.5</v>
      </c>
      <c r="K1538" s="41"/>
    </row>
    <row r="1539" spans="1:11" ht="15.75" customHeight="1">
      <c r="A1539" s="42" t="s">
        <v>308</v>
      </c>
      <c r="B1539" s="46" t="s">
        <v>28</v>
      </c>
      <c r="C1539" s="46" t="s">
        <v>14</v>
      </c>
      <c r="D1539" s="46" t="str">
        <f>VLOOKUP(Table1[[#This Row],[Point of Origin]],Table2[#All],2,0)</f>
        <v>USA</v>
      </c>
      <c r="E1539" s="46" t="str">
        <f>VLOOKUP(Table1[[#This Row],[Point of Origin]],Table2[#All],3,0)</f>
        <v>Domestic</v>
      </c>
      <c r="F1539" s="46" t="s">
        <v>71</v>
      </c>
      <c r="G1539" s="58" t="s">
        <v>72</v>
      </c>
      <c r="H1539" s="22">
        <v>38</v>
      </c>
      <c r="I1539" s="68">
        <f>Table1[[#This Row],[Total Weight Imported (lbs)]]*0.453592</f>
        <v>17.236495999999999</v>
      </c>
      <c r="J1539" s="55">
        <v>87.5</v>
      </c>
      <c r="K1539" s="41"/>
    </row>
    <row r="1540" spans="1:11" ht="15.75" customHeight="1">
      <c r="A1540" s="42" t="s">
        <v>308</v>
      </c>
      <c r="B1540" s="46" t="s">
        <v>28</v>
      </c>
      <c r="C1540" s="46" t="s">
        <v>14</v>
      </c>
      <c r="D1540" s="46" t="str">
        <f>VLOOKUP(Table1[[#This Row],[Point of Origin]],Table2[#All],2,0)</f>
        <v>USA</v>
      </c>
      <c r="E1540" s="46" t="str">
        <f>VLOOKUP(Table1[[#This Row],[Point of Origin]],Table2[#All],3,0)</f>
        <v>Domestic</v>
      </c>
      <c r="F1540" s="46" t="s">
        <v>121</v>
      </c>
      <c r="G1540" s="58" t="s">
        <v>122</v>
      </c>
      <c r="H1540" s="22">
        <v>120</v>
      </c>
      <c r="I1540" s="68">
        <f>Table1[[#This Row],[Total Weight Imported (lbs)]]*0.453592</f>
        <v>54.431039999999996</v>
      </c>
      <c r="J1540" s="55">
        <v>183.75</v>
      </c>
      <c r="K1540" s="1"/>
    </row>
    <row r="1541" spans="1:11" ht="15.75" customHeight="1">
      <c r="A1541" s="42" t="s">
        <v>308</v>
      </c>
      <c r="B1541" s="46" t="s">
        <v>28</v>
      </c>
      <c r="C1541" s="46" t="s">
        <v>14</v>
      </c>
      <c r="D1541" s="46" t="str">
        <f>VLOOKUP(Table1[[#This Row],[Point of Origin]],Table2[#All],2,0)</f>
        <v>USA</v>
      </c>
      <c r="E1541" s="46" t="str">
        <f>VLOOKUP(Table1[[#This Row],[Point of Origin]],Table2[#All],3,0)</f>
        <v>Domestic</v>
      </c>
      <c r="F1541" s="46" t="s">
        <v>121</v>
      </c>
      <c r="G1541" s="58" t="s">
        <v>122</v>
      </c>
      <c r="H1541" s="22">
        <v>120</v>
      </c>
      <c r="I1541" s="68">
        <f>Table1[[#This Row],[Total Weight Imported (lbs)]]*0.453592</f>
        <v>54.431039999999996</v>
      </c>
      <c r="J1541" s="55">
        <v>246.25</v>
      </c>
      <c r="K1541" s="1"/>
    </row>
    <row r="1542" spans="1:11" ht="15.75" customHeight="1">
      <c r="A1542" s="42" t="s">
        <v>308</v>
      </c>
      <c r="B1542" s="46" t="s">
        <v>28</v>
      </c>
      <c r="C1542" s="46" t="s">
        <v>14</v>
      </c>
      <c r="D1542" s="46" t="str">
        <f>VLOOKUP(Table1[[#This Row],[Point of Origin]],Table2[#All],2,0)</f>
        <v>USA</v>
      </c>
      <c r="E1542" s="46" t="str">
        <f>VLOOKUP(Table1[[#This Row],[Point of Origin]],Table2[#All],3,0)</f>
        <v>Domestic</v>
      </c>
      <c r="F1542" s="46" t="s">
        <v>121</v>
      </c>
      <c r="G1542" s="58" t="s">
        <v>122</v>
      </c>
      <c r="H1542" s="22">
        <v>120</v>
      </c>
      <c r="I1542" s="68">
        <f>Table1[[#This Row],[Total Weight Imported (lbs)]]*0.453592</f>
        <v>54.431039999999996</v>
      </c>
      <c r="J1542" s="55">
        <v>183.75</v>
      </c>
      <c r="K1542" s="1"/>
    </row>
    <row r="1543" spans="1:11" ht="15.75" customHeight="1">
      <c r="A1543" s="42" t="s">
        <v>308</v>
      </c>
      <c r="B1543" s="46" t="s">
        <v>28</v>
      </c>
      <c r="C1543" s="46" t="s">
        <v>14</v>
      </c>
      <c r="D1543" s="46" t="str">
        <f>VLOOKUP(Table1[[#This Row],[Point of Origin]],Table2[#All],2,0)</f>
        <v>USA</v>
      </c>
      <c r="E1543" s="46" t="str">
        <f>VLOOKUP(Table1[[#This Row],[Point of Origin]],Table2[#All],3,0)</f>
        <v>Domestic</v>
      </c>
      <c r="F1543" s="47" t="s">
        <v>191</v>
      </c>
      <c r="G1543" s="58" t="s">
        <v>192</v>
      </c>
      <c r="H1543" s="22">
        <v>250</v>
      </c>
      <c r="I1543" s="68">
        <f>Table1[[#This Row],[Total Weight Imported (lbs)]]*0.453592</f>
        <v>113.398</v>
      </c>
      <c r="J1543" s="55">
        <v>410</v>
      </c>
      <c r="K1543" s="1"/>
    </row>
    <row r="1544" spans="1:11" ht="15.75" customHeight="1">
      <c r="A1544" s="64" t="s">
        <v>309</v>
      </c>
      <c r="B1544" s="64" t="s">
        <v>293</v>
      </c>
      <c r="C1544" s="64" t="s">
        <v>293</v>
      </c>
      <c r="D1544" s="64" t="str">
        <f>VLOOKUP(Table1[[#This Row],[Point of Origin]],Table2[#All],2,0)</f>
        <v>CNMI</v>
      </c>
      <c r="E1544" s="64" t="str">
        <f>VLOOKUP(Table1[[#This Row],[Point of Origin]],Table2[#All],3,0)</f>
        <v>International</v>
      </c>
      <c r="F1544" s="65" t="s">
        <v>61</v>
      </c>
      <c r="G1544" s="58" t="s">
        <v>62</v>
      </c>
      <c r="H1544" s="22">
        <v>11</v>
      </c>
      <c r="I1544" s="68">
        <f>Table1[[#This Row],[Total Weight Imported (lbs)]]*0.453592</f>
        <v>4.9895119999999995</v>
      </c>
      <c r="J1544" s="55">
        <v>100</v>
      </c>
      <c r="K1544" s="41"/>
    </row>
    <row r="1545" spans="1:11" ht="15.75" customHeight="1">
      <c r="A1545" s="42" t="s">
        <v>310</v>
      </c>
      <c r="B1545" s="46" t="s">
        <v>311</v>
      </c>
      <c r="C1545" s="46" t="s">
        <v>311</v>
      </c>
      <c r="D1545" s="46" t="str">
        <f>VLOOKUP(Table1[[#This Row],[Point of Origin]],Table2[#All],2,0)</f>
        <v>FSM</v>
      </c>
      <c r="E1545" s="46" t="str">
        <f>VLOOKUP(Table1[[#This Row],[Point of Origin]],Table2[#All],3,0)</f>
        <v>International</v>
      </c>
      <c r="F1545" s="46" t="s">
        <v>312</v>
      </c>
      <c r="G1545" s="58" t="s">
        <v>313</v>
      </c>
      <c r="H1545" s="22">
        <v>100</v>
      </c>
      <c r="I1545" s="68">
        <f>Table1[[#This Row],[Total Weight Imported (lbs)]]*0.453592</f>
        <v>45.359200000000001</v>
      </c>
      <c r="J1545" s="55">
        <v>100</v>
      </c>
      <c r="K1545" s="1"/>
    </row>
    <row r="1546" spans="1:11" ht="15.75" customHeight="1">
      <c r="A1546" s="42" t="s">
        <v>310</v>
      </c>
      <c r="B1546" s="46" t="s">
        <v>311</v>
      </c>
      <c r="C1546" s="46" t="s">
        <v>311</v>
      </c>
      <c r="D1546" s="46" t="str">
        <f>VLOOKUP(Table1[[#This Row],[Point of Origin]],Table2[#All],2,0)</f>
        <v>FSM</v>
      </c>
      <c r="E1546" s="46" t="str">
        <f>VLOOKUP(Table1[[#This Row],[Point of Origin]],Table2[#All],3,0)</f>
        <v>International</v>
      </c>
      <c r="F1546" s="46" t="s">
        <v>314</v>
      </c>
      <c r="G1546" s="58" t="s">
        <v>315</v>
      </c>
      <c r="H1546" s="22">
        <v>10</v>
      </c>
      <c r="I1546" s="68">
        <f>Table1[[#This Row],[Total Weight Imported (lbs)]]*0.453592</f>
        <v>4.53592</v>
      </c>
      <c r="J1546" s="55">
        <v>10</v>
      </c>
      <c r="K1546" s="1"/>
    </row>
    <row r="1547" spans="1:11" ht="15.75" customHeight="1">
      <c r="A1547" s="64" t="s">
        <v>316</v>
      </c>
      <c r="B1547" s="64" t="s">
        <v>311</v>
      </c>
      <c r="C1547" s="64" t="s">
        <v>311</v>
      </c>
      <c r="D1547" s="64" t="str">
        <f>VLOOKUP(Table1[[#This Row],[Point of Origin]],Table2[#All],2,0)</f>
        <v>FSM</v>
      </c>
      <c r="E1547" s="64" t="str">
        <f>VLOOKUP(Table1[[#This Row],[Point of Origin]],Table2[#All],3,0)</f>
        <v>International</v>
      </c>
      <c r="F1547" s="64" t="s">
        <v>312</v>
      </c>
      <c r="G1547" s="58" t="s">
        <v>313</v>
      </c>
      <c r="H1547" s="22">
        <v>229</v>
      </c>
      <c r="I1547" s="68">
        <f>Table1[[#This Row],[Total Weight Imported (lbs)]]*0.453592</f>
        <v>103.872568</v>
      </c>
      <c r="J1547" s="55">
        <v>229</v>
      </c>
      <c r="K1547" s="1"/>
    </row>
    <row r="1548" spans="1:11" ht="15.75" customHeight="1">
      <c r="A1548" s="42" t="s">
        <v>317</v>
      </c>
      <c r="B1548" s="46" t="s">
        <v>311</v>
      </c>
      <c r="C1548" s="46" t="s">
        <v>311</v>
      </c>
      <c r="D1548" s="46" t="str">
        <f>VLOOKUP(Table1[[#This Row],[Point of Origin]],Table2[#All],2,0)</f>
        <v>FSM</v>
      </c>
      <c r="E1548" s="46" t="str">
        <f>VLOOKUP(Table1[[#This Row],[Point of Origin]],Table2[#All],3,0)</f>
        <v>International</v>
      </c>
      <c r="F1548" s="46" t="s">
        <v>312</v>
      </c>
      <c r="G1548" s="58" t="s">
        <v>313</v>
      </c>
      <c r="H1548" s="22">
        <v>732</v>
      </c>
      <c r="I1548" s="68">
        <f>Table1[[#This Row],[Total Weight Imported (lbs)]]*0.453592</f>
        <v>332.02934399999998</v>
      </c>
      <c r="J1548" s="55">
        <v>732</v>
      </c>
      <c r="K1548" s="1"/>
    </row>
    <row r="1549" spans="1:11" ht="15.75" customHeight="1">
      <c r="A1549" s="42" t="s">
        <v>317</v>
      </c>
      <c r="B1549" s="46" t="s">
        <v>311</v>
      </c>
      <c r="C1549" s="46" t="s">
        <v>311</v>
      </c>
      <c r="D1549" s="46" t="str">
        <f>VLOOKUP(Table1[[#This Row],[Point of Origin]],Table2[#All],2,0)</f>
        <v>FSM</v>
      </c>
      <c r="E1549" s="46" t="str">
        <f>VLOOKUP(Table1[[#This Row],[Point of Origin]],Table2[#All],3,0)</f>
        <v>International</v>
      </c>
      <c r="F1549" s="46" t="s">
        <v>314</v>
      </c>
      <c r="G1549" s="58" t="s">
        <v>315</v>
      </c>
      <c r="H1549" s="22">
        <v>30</v>
      </c>
      <c r="I1549" s="68">
        <f>Table1[[#This Row],[Total Weight Imported (lbs)]]*0.453592</f>
        <v>13.607759999999999</v>
      </c>
      <c r="J1549" s="55">
        <v>30</v>
      </c>
      <c r="K1549" s="1"/>
    </row>
    <row r="1550" spans="1:11" ht="15.75" customHeight="1">
      <c r="A1550" s="64" t="s">
        <v>318</v>
      </c>
      <c r="B1550" s="64" t="s">
        <v>311</v>
      </c>
      <c r="C1550" s="64" t="s">
        <v>311</v>
      </c>
      <c r="D1550" s="64" t="str">
        <f>VLOOKUP(Table1[[#This Row],[Point of Origin]],Table2[#All],2,0)</f>
        <v>FSM</v>
      </c>
      <c r="E1550" s="64" t="str">
        <f>VLOOKUP(Table1[[#This Row],[Point of Origin]],Table2[#All],3,0)</f>
        <v>International</v>
      </c>
      <c r="F1550" s="64" t="s">
        <v>312</v>
      </c>
      <c r="G1550" s="58" t="s">
        <v>313</v>
      </c>
      <c r="H1550" s="22">
        <v>186</v>
      </c>
      <c r="I1550" s="68">
        <f>Table1[[#This Row],[Total Weight Imported (lbs)]]*0.453592</f>
        <v>84.368111999999996</v>
      </c>
      <c r="J1550" s="55">
        <v>300</v>
      </c>
      <c r="K1550" s="1"/>
    </row>
    <row r="1551" spans="1:11" ht="15.75" customHeight="1">
      <c r="A1551" s="64" t="s">
        <v>318</v>
      </c>
      <c r="B1551" s="64" t="s">
        <v>311</v>
      </c>
      <c r="C1551" s="64" t="s">
        <v>311</v>
      </c>
      <c r="D1551" s="64" t="str">
        <f>VLOOKUP(Table1[[#This Row],[Point of Origin]],Table2[#All],2,0)</f>
        <v>FSM</v>
      </c>
      <c r="E1551" s="64" t="str">
        <f>VLOOKUP(Table1[[#This Row],[Point of Origin]],Table2[#All],3,0)</f>
        <v>International</v>
      </c>
      <c r="F1551" s="65" t="s">
        <v>314</v>
      </c>
      <c r="G1551" s="58" t="s">
        <v>315</v>
      </c>
      <c r="H1551" s="22">
        <v>18</v>
      </c>
      <c r="I1551" s="68">
        <f>Table1[[#This Row],[Total Weight Imported (lbs)]]*0.453592</f>
        <v>8.1646560000000008</v>
      </c>
      <c r="J1551" s="55">
        <v>100</v>
      </c>
      <c r="K1551" s="1"/>
    </row>
    <row r="1552" spans="1:11" ht="15.75" customHeight="1">
      <c r="A1552" s="42" t="s">
        <v>319</v>
      </c>
      <c r="B1552" s="46" t="s">
        <v>311</v>
      </c>
      <c r="C1552" s="46" t="s">
        <v>311</v>
      </c>
      <c r="D1552" s="46" t="str">
        <f>VLOOKUP(Table1[[#This Row],[Point of Origin]],Table2[#All],2,0)</f>
        <v>FSM</v>
      </c>
      <c r="E1552" s="46" t="str">
        <f>VLOOKUP(Table1[[#This Row],[Point of Origin]],Table2[#All],3,0)</f>
        <v>International</v>
      </c>
      <c r="F1552" s="46" t="s">
        <v>312</v>
      </c>
      <c r="G1552" s="58" t="s">
        <v>313</v>
      </c>
      <c r="H1552" s="22">
        <v>500</v>
      </c>
      <c r="I1552" s="68">
        <f>Table1[[#This Row],[Total Weight Imported (lbs)]]*0.453592</f>
        <v>226.79599999999999</v>
      </c>
      <c r="J1552" s="55">
        <v>1250</v>
      </c>
      <c r="K1552" s="1"/>
    </row>
    <row r="1553" spans="1:11" ht="15.75" customHeight="1">
      <c r="A1553" s="42" t="s">
        <v>319</v>
      </c>
      <c r="B1553" s="46" t="s">
        <v>311</v>
      </c>
      <c r="C1553" s="46" t="s">
        <v>311</v>
      </c>
      <c r="D1553" s="46" t="str">
        <f>VLOOKUP(Table1[[#This Row],[Point of Origin]],Table2[#All],2,0)</f>
        <v>FSM</v>
      </c>
      <c r="E1553" s="46" t="str">
        <f>VLOOKUP(Table1[[#This Row],[Point of Origin]],Table2[#All],3,0)</f>
        <v>International</v>
      </c>
      <c r="F1553" s="46" t="s">
        <v>314</v>
      </c>
      <c r="G1553" s="58" t="s">
        <v>320</v>
      </c>
      <c r="H1553" s="22">
        <v>10</v>
      </c>
      <c r="I1553" s="68">
        <f>Table1[[#This Row],[Total Weight Imported (lbs)]]*0.453592</f>
        <v>4.53592</v>
      </c>
      <c r="J1553" s="55">
        <v>357.5</v>
      </c>
      <c r="K1553" s="1"/>
    </row>
    <row r="1554" spans="1:11" ht="15.75" customHeight="1">
      <c r="A1554" s="64" t="s">
        <v>321</v>
      </c>
      <c r="B1554" s="64" t="s">
        <v>311</v>
      </c>
      <c r="C1554" s="64" t="s">
        <v>311</v>
      </c>
      <c r="D1554" s="64" t="str">
        <f>VLOOKUP(Table1[[#This Row],[Point of Origin]],Table2[#All],2,0)</f>
        <v>FSM</v>
      </c>
      <c r="E1554" s="64" t="str">
        <f>VLOOKUP(Table1[[#This Row],[Point of Origin]],Table2[#All],3,0)</f>
        <v>International</v>
      </c>
      <c r="F1554" s="65" t="s">
        <v>312</v>
      </c>
      <c r="G1554" s="58" t="s">
        <v>313</v>
      </c>
      <c r="H1554" s="22">
        <v>100</v>
      </c>
      <c r="I1554" s="68">
        <f>Table1[[#This Row],[Total Weight Imported (lbs)]]*0.453592</f>
        <v>45.359200000000001</v>
      </c>
      <c r="J1554" s="55">
        <v>100</v>
      </c>
      <c r="K1554" s="1"/>
    </row>
    <row r="1555" spans="1:11" ht="15.75" customHeight="1">
      <c r="A1555" s="64" t="s">
        <v>321</v>
      </c>
      <c r="B1555" s="64" t="s">
        <v>311</v>
      </c>
      <c r="C1555" s="64" t="s">
        <v>311</v>
      </c>
      <c r="D1555" s="64" t="str">
        <f>VLOOKUP(Table1[[#This Row],[Point of Origin]],Table2[#All],2,0)</f>
        <v>FSM</v>
      </c>
      <c r="E1555" s="64" t="str">
        <f>VLOOKUP(Table1[[#This Row],[Point of Origin]],Table2[#All],3,0)</f>
        <v>International</v>
      </c>
      <c r="F1555" s="65" t="s">
        <v>314</v>
      </c>
      <c r="G1555" s="58" t="s">
        <v>320</v>
      </c>
      <c r="H1555" s="22">
        <v>30</v>
      </c>
      <c r="I1555" s="68">
        <f>Table1[[#This Row],[Total Weight Imported (lbs)]]*0.453592</f>
        <v>13.607759999999999</v>
      </c>
      <c r="J1555" s="55">
        <v>20</v>
      </c>
      <c r="K1555" s="1"/>
    </row>
    <row r="1556" spans="1:11" ht="15.75" customHeight="1">
      <c r="A1556" s="42" t="s">
        <v>322</v>
      </c>
      <c r="B1556" s="46" t="s">
        <v>311</v>
      </c>
      <c r="C1556" s="46" t="s">
        <v>311</v>
      </c>
      <c r="D1556" s="46" t="str">
        <f>VLOOKUP(Table1[[#This Row],[Point of Origin]],Table2[#All],2,0)</f>
        <v>FSM</v>
      </c>
      <c r="E1556" s="46" t="str">
        <f>VLOOKUP(Table1[[#This Row],[Point of Origin]],Table2[#All],3,0)</f>
        <v>International</v>
      </c>
      <c r="F1556" s="46" t="s">
        <v>312</v>
      </c>
      <c r="G1556" s="58" t="s">
        <v>313</v>
      </c>
      <c r="H1556" s="22">
        <v>235</v>
      </c>
      <c r="I1556" s="68">
        <f>Table1[[#This Row],[Total Weight Imported (lbs)]]*0.453592</f>
        <v>106.59412</v>
      </c>
      <c r="J1556" s="55">
        <v>395.9</v>
      </c>
      <c r="K1556" s="1"/>
    </row>
    <row r="1557" spans="1:11" ht="15.75" customHeight="1">
      <c r="A1557" s="64" t="s">
        <v>323</v>
      </c>
      <c r="B1557" s="64" t="s">
        <v>311</v>
      </c>
      <c r="C1557" s="64" t="s">
        <v>311</v>
      </c>
      <c r="D1557" s="64" t="str">
        <f>VLOOKUP(Table1[[#This Row],[Point of Origin]],Table2[#All],2,0)</f>
        <v>FSM</v>
      </c>
      <c r="E1557" s="64" t="str">
        <f>VLOOKUP(Table1[[#This Row],[Point of Origin]],Table2[#All],3,0)</f>
        <v>International</v>
      </c>
      <c r="F1557" s="65" t="s">
        <v>312</v>
      </c>
      <c r="G1557" s="58" t="s">
        <v>313</v>
      </c>
      <c r="H1557" s="22">
        <v>200</v>
      </c>
      <c r="I1557" s="68">
        <f>Table1[[#This Row],[Total Weight Imported (lbs)]]*0.453592</f>
        <v>90.718400000000003</v>
      </c>
      <c r="J1557" s="55">
        <v>300</v>
      </c>
      <c r="K1557" s="1"/>
    </row>
    <row r="1558" spans="1:11" ht="15.75" customHeight="1">
      <c r="A1558" s="64" t="s">
        <v>323</v>
      </c>
      <c r="B1558" s="64" t="s">
        <v>311</v>
      </c>
      <c r="C1558" s="64" t="s">
        <v>311</v>
      </c>
      <c r="D1558" s="64" t="str">
        <f>VLOOKUP(Table1[[#This Row],[Point of Origin]],Table2[#All],2,0)</f>
        <v>FSM</v>
      </c>
      <c r="E1558" s="64" t="str">
        <f>VLOOKUP(Table1[[#This Row],[Point of Origin]],Table2[#All],3,0)</f>
        <v>International</v>
      </c>
      <c r="F1558" s="65" t="s">
        <v>314</v>
      </c>
      <c r="G1558" s="58" t="s">
        <v>320</v>
      </c>
      <c r="H1558" s="22">
        <v>14</v>
      </c>
      <c r="I1558" s="68">
        <f>Table1[[#This Row],[Total Weight Imported (lbs)]]*0.453592</f>
        <v>6.3502879999999999</v>
      </c>
      <c r="J1558" s="55">
        <v>78</v>
      </c>
      <c r="K1558" s="1"/>
    </row>
    <row r="1559" spans="1:11" ht="15.75" customHeight="1">
      <c r="A1559" s="42" t="s">
        <v>324</v>
      </c>
      <c r="B1559" s="46" t="s">
        <v>311</v>
      </c>
      <c r="C1559" s="46" t="s">
        <v>311</v>
      </c>
      <c r="D1559" s="46" t="str">
        <f>VLOOKUP(Table1[[#This Row],[Point of Origin]],Table2[#All],2,0)</f>
        <v>FSM</v>
      </c>
      <c r="E1559" s="46" t="str">
        <f>VLOOKUP(Table1[[#This Row],[Point of Origin]],Table2[#All],3,0)</f>
        <v>International</v>
      </c>
      <c r="F1559" s="46" t="s">
        <v>312</v>
      </c>
      <c r="G1559" s="58" t="s">
        <v>313</v>
      </c>
      <c r="H1559" s="22">
        <v>340</v>
      </c>
      <c r="I1559" s="68">
        <f>Table1[[#This Row],[Total Weight Imported (lbs)]]*0.453592</f>
        <v>154.22128000000001</v>
      </c>
      <c r="J1559" s="55">
        <v>200</v>
      </c>
      <c r="K1559" s="1"/>
    </row>
    <row r="1560" spans="1:11" ht="15.75" customHeight="1">
      <c r="A1560" s="64" t="s">
        <v>325</v>
      </c>
      <c r="B1560" s="64" t="s">
        <v>311</v>
      </c>
      <c r="C1560" s="64" t="s">
        <v>311</v>
      </c>
      <c r="D1560" s="64" t="str">
        <f>VLOOKUP(Table1[[#This Row],[Point of Origin]],Table2[#All],2,0)</f>
        <v>FSM</v>
      </c>
      <c r="E1560" s="64" t="str">
        <f>VLOOKUP(Table1[[#This Row],[Point of Origin]],Table2[#All],3,0)</f>
        <v>International</v>
      </c>
      <c r="F1560" s="65" t="s">
        <v>312</v>
      </c>
      <c r="G1560" s="58" t="s">
        <v>313</v>
      </c>
      <c r="H1560" s="22">
        <v>500</v>
      </c>
      <c r="I1560" s="68">
        <f>Table1[[#This Row],[Total Weight Imported (lbs)]]*0.453592</f>
        <v>226.79599999999999</v>
      </c>
      <c r="J1560" s="55">
        <v>1250</v>
      </c>
      <c r="K1560" s="1"/>
    </row>
    <row r="1561" spans="1:11" ht="15.75" customHeight="1">
      <c r="A1561" s="64" t="s">
        <v>325</v>
      </c>
      <c r="B1561" s="64" t="s">
        <v>311</v>
      </c>
      <c r="C1561" s="64" t="s">
        <v>311</v>
      </c>
      <c r="D1561" s="64" t="str">
        <f>VLOOKUP(Table1[[#This Row],[Point of Origin]],Table2[#All],2,0)</f>
        <v>FSM</v>
      </c>
      <c r="E1561" s="64" t="str">
        <f>VLOOKUP(Table1[[#This Row],[Point of Origin]],Table2[#All],3,0)</f>
        <v>International</v>
      </c>
      <c r="F1561" s="65" t="s">
        <v>314</v>
      </c>
      <c r="G1561" s="58" t="s">
        <v>320</v>
      </c>
      <c r="H1561" s="22">
        <v>57</v>
      </c>
      <c r="I1561" s="68">
        <f>Table1[[#This Row],[Total Weight Imported (lbs)]]*0.453592</f>
        <v>25.854744</v>
      </c>
      <c r="J1561" s="55">
        <v>370.5</v>
      </c>
      <c r="K1561" s="1"/>
    </row>
    <row r="1562" spans="1:11" ht="15.75" customHeight="1">
      <c r="A1562" s="42" t="s">
        <v>326</v>
      </c>
      <c r="B1562" s="46" t="s">
        <v>311</v>
      </c>
      <c r="C1562" s="46" t="s">
        <v>311</v>
      </c>
      <c r="D1562" s="46" t="str">
        <f>VLOOKUP(Table1[[#This Row],[Point of Origin]],Table2[#All],2,0)</f>
        <v>FSM</v>
      </c>
      <c r="E1562" s="46" t="str">
        <f>VLOOKUP(Table1[[#This Row],[Point of Origin]],Table2[#All],3,0)</f>
        <v>International</v>
      </c>
      <c r="F1562" s="46" t="s">
        <v>312</v>
      </c>
      <c r="G1562" s="58" t="s">
        <v>313</v>
      </c>
      <c r="H1562" s="22">
        <v>107</v>
      </c>
      <c r="I1562" s="68">
        <f>Table1[[#This Row],[Total Weight Imported (lbs)]]*0.453592</f>
        <v>48.534343999999997</v>
      </c>
      <c r="J1562" s="55">
        <v>300</v>
      </c>
      <c r="K1562" s="1"/>
    </row>
    <row r="1563" spans="1:11" ht="15.75" customHeight="1">
      <c r="A1563" s="64" t="s">
        <v>327</v>
      </c>
      <c r="B1563" s="64" t="s">
        <v>311</v>
      </c>
      <c r="C1563" s="64" t="s">
        <v>311</v>
      </c>
      <c r="D1563" s="64" t="str">
        <f>VLOOKUP(Table1[[#This Row],[Point of Origin]],Table2[#All],2,0)</f>
        <v>FSM</v>
      </c>
      <c r="E1563" s="64" t="str">
        <f>VLOOKUP(Table1[[#This Row],[Point of Origin]],Table2[#All],3,0)</f>
        <v>International</v>
      </c>
      <c r="F1563" s="65" t="s">
        <v>312</v>
      </c>
      <c r="G1563" s="58" t="s">
        <v>313</v>
      </c>
      <c r="H1563" s="22">
        <v>144</v>
      </c>
      <c r="I1563" s="68">
        <f>Table1[[#This Row],[Total Weight Imported (lbs)]]*0.453592</f>
        <v>65.317248000000006</v>
      </c>
      <c r="J1563" s="55">
        <v>144</v>
      </c>
      <c r="K1563" s="1"/>
    </row>
    <row r="1564" spans="1:11" ht="15.75" customHeight="1">
      <c r="A1564" s="42" t="s">
        <v>328</v>
      </c>
      <c r="B1564" s="46" t="s">
        <v>311</v>
      </c>
      <c r="C1564" s="46" t="s">
        <v>311</v>
      </c>
      <c r="D1564" s="46" t="str">
        <f>VLOOKUP(Table1[[#This Row],[Point of Origin]],Table2[#All],2,0)</f>
        <v>FSM</v>
      </c>
      <c r="E1564" s="46" t="str">
        <f>VLOOKUP(Table1[[#This Row],[Point of Origin]],Table2[#All],3,0)</f>
        <v>International</v>
      </c>
      <c r="F1564" s="46" t="s">
        <v>312</v>
      </c>
      <c r="G1564" s="58" t="s">
        <v>313</v>
      </c>
      <c r="H1564" s="22">
        <v>224</v>
      </c>
      <c r="I1564" s="68">
        <f>Table1[[#This Row],[Total Weight Imported (lbs)]]*0.453592</f>
        <v>101.604608</v>
      </c>
      <c r="J1564" s="55">
        <v>315</v>
      </c>
      <c r="K1564" s="1"/>
    </row>
    <row r="1565" spans="1:11" ht="15.75" customHeight="1">
      <c r="A1565" s="42" t="s">
        <v>328</v>
      </c>
      <c r="B1565" s="46" t="s">
        <v>311</v>
      </c>
      <c r="C1565" s="46" t="s">
        <v>311</v>
      </c>
      <c r="D1565" s="46" t="str">
        <f>VLOOKUP(Table1[[#This Row],[Point of Origin]],Table2[#All],2,0)</f>
        <v>FSM</v>
      </c>
      <c r="E1565" s="46" t="str">
        <f>VLOOKUP(Table1[[#This Row],[Point of Origin]],Table2[#All],3,0)</f>
        <v>International</v>
      </c>
      <c r="F1565" s="46" t="s">
        <v>314</v>
      </c>
      <c r="G1565" s="58" t="s">
        <v>320</v>
      </c>
      <c r="H1565" s="22">
        <v>16</v>
      </c>
      <c r="I1565" s="68">
        <f>Table1[[#This Row],[Total Weight Imported (lbs)]]*0.453592</f>
        <v>7.2574719999999999</v>
      </c>
      <c r="J1565" s="55">
        <v>76</v>
      </c>
      <c r="K1565" s="1"/>
    </row>
    <row r="1566" spans="1:11" ht="15.75" customHeight="1">
      <c r="A1566" s="64" t="s">
        <v>329</v>
      </c>
      <c r="B1566" s="64" t="s">
        <v>311</v>
      </c>
      <c r="C1566" s="64" t="s">
        <v>311</v>
      </c>
      <c r="D1566" s="64" t="str">
        <f>VLOOKUP(Table1[[#This Row],[Point of Origin]],Table2[#All],2,0)</f>
        <v>FSM</v>
      </c>
      <c r="E1566" s="64" t="str">
        <f>VLOOKUP(Table1[[#This Row],[Point of Origin]],Table2[#All],3,0)</f>
        <v>International</v>
      </c>
      <c r="F1566" s="65" t="s">
        <v>312</v>
      </c>
      <c r="G1566" s="58" t="s">
        <v>313</v>
      </c>
      <c r="H1566" s="22">
        <v>290</v>
      </c>
      <c r="I1566" s="68">
        <f>Table1[[#This Row],[Total Weight Imported (lbs)]]*0.453592</f>
        <v>131.54167999999999</v>
      </c>
      <c r="J1566" s="55">
        <v>290</v>
      </c>
      <c r="K1566" s="1"/>
    </row>
    <row r="1567" spans="1:11" ht="15.75" customHeight="1">
      <c r="A1567" s="64" t="s">
        <v>329</v>
      </c>
      <c r="B1567" s="64" t="s">
        <v>311</v>
      </c>
      <c r="C1567" s="64" t="s">
        <v>311</v>
      </c>
      <c r="D1567" s="64" t="str">
        <f>VLOOKUP(Table1[[#This Row],[Point of Origin]],Table2[#All],2,0)</f>
        <v>FSM</v>
      </c>
      <c r="E1567" s="64" t="str">
        <f>VLOOKUP(Table1[[#This Row],[Point of Origin]],Table2[#All],3,0)</f>
        <v>International</v>
      </c>
      <c r="F1567" s="65" t="s">
        <v>314</v>
      </c>
      <c r="G1567" s="58" t="s">
        <v>320</v>
      </c>
      <c r="H1567" s="22">
        <v>9</v>
      </c>
      <c r="I1567" s="68">
        <f>Table1[[#This Row],[Total Weight Imported (lbs)]]*0.453592</f>
        <v>4.0823280000000004</v>
      </c>
      <c r="J1567" s="55">
        <v>9</v>
      </c>
      <c r="K1567" s="1"/>
    </row>
    <row r="1568" spans="1:11" ht="15.75" customHeight="1">
      <c r="A1568" s="42" t="s">
        <v>330</v>
      </c>
      <c r="B1568" s="46" t="s">
        <v>311</v>
      </c>
      <c r="C1568" s="46" t="s">
        <v>311</v>
      </c>
      <c r="D1568" s="46" t="str">
        <f>VLOOKUP(Table1[[#This Row],[Point of Origin]],Table2[#All],2,0)</f>
        <v>FSM</v>
      </c>
      <c r="E1568" s="46" t="str">
        <f>VLOOKUP(Table1[[#This Row],[Point of Origin]],Table2[#All],3,0)</f>
        <v>International</v>
      </c>
      <c r="F1568" s="46" t="s">
        <v>312</v>
      </c>
      <c r="G1568" s="58" t="s">
        <v>313</v>
      </c>
      <c r="H1568" s="22">
        <v>140</v>
      </c>
      <c r="I1568" s="68">
        <f>Table1[[#This Row],[Total Weight Imported (lbs)]]*0.453592</f>
        <v>63.502879999999998</v>
      </c>
      <c r="J1568" s="55">
        <v>400</v>
      </c>
      <c r="K1568" s="1"/>
    </row>
    <row r="1569" spans="1:11" ht="15.75" customHeight="1">
      <c r="A1569" s="42" t="s">
        <v>330</v>
      </c>
      <c r="B1569" s="46" t="s">
        <v>311</v>
      </c>
      <c r="C1569" s="46" t="s">
        <v>311</v>
      </c>
      <c r="D1569" s="46" t="str">
        <f>VLOOKUP(Table1[[#This Row],[Point of Origin]],Table2[#All],2,0)</f>
        <v>FSM</v>
      </c>
      <c r="E1569" s="46" t="str">
        <f>VLOOKUP(Table1[[#This Row],[Point of Origin]],Table2[#All],3,0)</f>
        <v>International</v>
      </c>
      <c r="F1569" s="46" t="s">
        <v>314</v>
      </c>
      <c r="G1569" s="58" t="s">
        <v>320</v>
      </c>
      <c r="H1569" s="22">
        <v>4</v>
      </c>
      <c r="I1569" s="68">
        <f>Table1[[#This Row],[Total Weight Imported (lbs)]]*0.453592</f>
        <v>1.814368</v>
      </c>
      <c r="J1569" s="55">
        <v>100</v>
      </c>
      <c r="K1569" s="1"/>
    </row>
    <row r="1570" spans="1:11" ht="15.75" customHeight="1">
      <c r="A1570" s="64" t="s">
        <v>331</v>
      </c>
      <c r="B1570" s="64" t="s">
        <v>311</v>
      </c>
      <c r="C1570" s="64" t="s">
        <v>311</v>
      </c>
      <c r="D1570" s="64" t="str">
        <f>VLOOKUP(Table1[[#This Row],[Point of Origin]],Table2[#All],2,0)</f>
        <v>FSM</v>
      </c>
      <c r="E1570" s="64" t="str">
        <f>VLOOKUP(Table1[[#This Row],[Point of Origin]],Table2[#All],3,0)</f>
        <v>International</v>
      </c>
      <c r="F1570" s="65" t="s">
        <v>312</v>
      </c>
      <c r="G1570" s="58" t="s">
        <v>313</v>
      </c>
      <c r="H1570" s="22">
        <v>120</v>
      </c>
      <c r="I1570" s="68">
        <f>Table1[[#This Row],[Total Weight Imported (lbs)]]*0.453592</f>
        <v>54.431039999999996</v>
      </c>
      <c r="J1570" s="55">
        <v>120</v>
      </c>
      <c r="K1570" s="1"/>
    </row>
    <row r="1571" spans="1:11" ht="15.75" customHeight="1">
      <c r="A1571" s="64" t="s">
        <v>331</v>
      </c>
      <c r="B1571" s="64" t="s">
        <v>311</v>
      </c>
      <c r="C1571" s="64" t="s">
        <v>311</v>
      </c>
      <c r="D1571" s="64" t="str">
        <f>VLOOKUP(Table1[[#This Row],[Point of Origin]],Table2[#All],2,0)</f>
        <v>FSM</v>
      </c>
      <c r="E1571" s="64" t="str">
        <f>VLOOKUP(Table1[[#This Row],[Point of Origin]],Table2[#All],3,0)</f>
        <v>International</v>
      </c>
      <c r="F1571" s="65" t="s">
        <v>314</v>
      </c>
      <c r="G1571" s="58" t="s">
        <v>320</v>
      </c>
      <c r="H1571" s="22">
        <v>13</v>
      </c>
      <c r="I1571" s="68">
        <f>Table1[[#This Row],[Total Weight Imported (lbs)]]*0.453592</f>
        <v>5.8966960000000004</v>
      </c>
      <c r="J1571" s="55">
        <v>13</v>
      </c>
      <c r="K1571" s="1"/>
    </row>
    <row r="1572" spans="1:11" ht="15.75" customHeight="1">
      <c r="A1572" s="42" t="s">
        <v>332</v>
      </c>
      <c r="B1572" s="46" t="s">
        <v>311</v>
      </c>
      <c r="C1572" s="46" t="s">
        <v>311</v>
      </c>
      <c r="D1572" s="46" t="str">
        <f>VLOOKUP(Table1[[#This Row],[Point of Origin]],Table2[#All],2,0)</f>
        <v>FSM</v>
      </c>
      <c r="E1572" s="46" t="str">
        <f>VLOOKUP(Table1[[#This Row],[Point of Origin]],Table2[#All],3,0)</f>
        <v>International</v>
      </c>
      <c r="F1572" s="46" t="s">
        <v>312</v>
      </c>
      <c r="G1572" s="58" t="s">
        <v>313</v>
      </c>
      <c r="H1572" s="22">
        <v>90</v>
      </c>
      <c r="I1572" s="68">
        <f>Table1[[#This Row],[Total Weight Imported (lbs)]]*0.453592</f>
        <v>40.823279999999997</v>
      </c>
      <c r="J1572" s="55">
        <v>120</v>
      </c>
      <c r="K1572" s="1"/>
    </row>
    <row r="1573" spans="1:11" ht="15.75" customHeight="1">
      <c r="A1573" s="42" t="s">
        <v>332</v>
      </c>
      <c r="B1573" s="46" t="s">
        <v>311</v>
      </c>
      <c r="C1573" s="46" t="s">
        <v>311</v>
      </c>
      <c r="D1573" s="46" t="str">
        <f>VLOOKUP(Table1[[#This Row],[Point of Origin]],Table2[#All],2,0)</f>
        <v>FSM</v>
      </c>
      <c r="E1573" s="46" t="str">
        <f>VLOOKUP(Table1[[#This Row],[Point of Origin]],Table2[#All],3,0)</f>
        <v>International</v>
      </c>
      <c r="F1573" s="46" t="s">
        <v>314</v>
      </c>
      <c r="G1573" s="58" t="s">
        <v>320</v>
      </c>
      <c r="H1573" s="22">
        <v>4</v>
      </c>
      <c r="I1573" s="68">
        <f>Table1[[#This Row],[Total Weight Imported (lbs)]]*0.453592</f>
        <v>1.814368</v>
      </c>
      <c r="J1573" s="55">
        <v>40</v>
      </c>
      <c r="K1573" s="1"/>
    </row>
    <row r="1574" spans="1:11" ht="15.75" customHeight="1">
      <c r="A1574" s="64" t="s">
        <v>333</v>
      </c>
      <c r="B1574" s="64" t="s">
        <v>311</v>
      </c>
      <c r="C1574" s="64" t="s">
        <v>311</v>
      </c>
      <c r="D1574" s="64" t="str">
        <f>VLOOKUP(Table1[[#This Row],[Point of Origin]],Table2[#All],2,0)</f>
        <v>FSM</v>
      </c>
      <c r="E1574" s="64" t="str">
        <f>VLOOKUP(Table1[[#This Row],[Point of Origin]],Table2[#All],3,0)</f>
        <v>International</v>
      </c>
      <c r="F1574" s="65" t="s">
        <v>312</v>
      </c>
      <c r="G1574" s="58" t="s">
        <v>313</v>
      </c>
      <c r="H1574" s="22">
        <v>95</v>
      </c>
      <c r="I1574" s="68">
        <f>Table1[[#This Row],[Total Weight Imported (lbs)]]*0.453592</f>
        <v>43.091239999999999</v>
      </c>
      <c r="J1574" s="55">
        <v>95</v>
      </c>
      <c r="K1574" s="1"/>
    </row>
    <row r="1575" spans="1:11" ht="15.75" customHeight="1">
      <c r="A1575" s="42" t="s">
        <v>334</v>
      </c>
      <c r="B1575" s="46" t="s">
        <v>311</v>
      </c>
      <c r="C1575" s="46" t="s">
        <v>311</v>
      </c>
      <c r="D1575" s="46" t="str">
        <f>VLOOKUP(Table1[[#This Row],[Point of Origin]],Table2[#All],2,0)</f>
        <v>FSM</v>
      </c>
      <c r="E1575" s="46" t="str">
        <f>VLOOKUP(Table1[[#This Row],[Point of Origin]],Table2[#All],3,0)</f>
        <v>International</v>
      </c>
      <c r="F1575" s="46" t="s">
        <v>312</v>
      </c>
      <c r="G1575" s="58" t="s">
        <v>313</v>
      </c>
      <c r="H1575" s="22">
        <v>680</v>
      </c>
      <c r="I1575" s="68">
        <f>Table1[[#This Row],[Total Weight Imported (lbs)]]*0.453592</f>
        <v>308.44256000000001</v>
      </c>
      <c r="J1575" s="55">
        <v>680</v>
      </c>
      <c r="K1575" s="1"/>
    </row>
    <row r="1576" spans="1:11" ht="15.75" customHeight="1">
      <c r="A1576" s="42" t="s">
        <v>334</v>
      </c>
      <c r="B1576" s="46" t="s">
        <v>311</v>
      </c>
      <c r="C1576" s="46" t="s">
        <v>311</v>
      </c>
      <c r="D1576" s="46" t="str">
        <f>VLOOKUP(Table1[[#This Row],[Point of Origin]],Table2[#All],2,0)</f>
        <v>FSM</v>
      </c>
      <c r="E1576" s="46" t="str">
        <f>VLOOKUP(Table1[[#This Row],[Point of Origin]],Table2[#All],3,0)</f>
        <v>International</v>
      </c>
      <c r="F1576" s="46" t="s">
        <v>314</v>
      </c>
      <c r="G1576" s="58" t="s">
        <v>320</v>
      </c>
      <c r="H1576" s="22">
        <v>35</v>
      </c>
      <c r="I1576" s="68">
        <f>Table1[[#This Row],[Total Weight Imported (lbs)]]*0.453592</f>
        <v>15.875719999999999</v>
      </c>
      <c r="J1576" s="55">
        <v>35</v>
      </c>
      <c r="K1576" s="1"/>
    </row>
    <row r="1577" spans="1:11" ht="15.75" customHeight="1">
      <c r="A1577" s="64" t="s">
        <v>335</v>
      </c>
      <c r="B1577" s="64" t="s">
        <v>311</v>
      </c>
      <c r="C1577" s="64" t="s">
        <v>311</v>
      </c>
      <c r="D1577" s="64" t="str">
        <f>VLOOKUP(Table1[[#This Row],[Point of Origin]],Table2[#All],2,0)</f>
        <v>FSM</v>
      </c>
      <c r="E1577" s="64" t="str">
        <f>VLOOKUP(Table1[[#This Row],[Point of Origin]],Table2[#All],3,0)</f>
        <v>International</v>
      </c>
      <c r="F1577" s="65" t="s">
        <v>312</v>
      </c>
      <c r="G1577" s="58" t="s">
        <v>313</v>
      </c>
      <c r="H1577" s="22">
        <v>100</v>
      </c>
      <c r="I1577" s="68">
        <f>Table1[[#This Row],[Total Weight Imported (lbs)]]*0.453592</f>
        <v>45.359200000000001</v>
      </c>
      <c r="J1577" s="55">
        <v>100</v>
      </c>
      <c r="K1577" s="1"/>
    </row>
    <row r="1578" spans="1:11" ht="15.75" customHeight="1">
      <c r="A1578" s="64" t="s">
        <v>335</v>
      </c>
      <c r="B1578" s="64" t="s">
        <v>311</v>
      </c>
      <c r="C1578" s="64" t="s">
        <v>311</v>
      </c>
      <c r="D1578" s="64" t="str">
        <f>VLOOKUP(Table1[[#This Row],[Point of Origin]],Table2[#All],2,0)</f>
        <v>FSM</v>
      </c>
      <c r="E1578" s="64" t="str">
        <f>VLOOKUP(Table1[[#This Row],[Point of Origin]],Table2[#All],3,0)</f>
        <v>International</v>
      </c>
      <c r="F1578" s="65" t="s">
        <v>314</v>
      </c>
      <c r="G1578" s="58" t="s">
        <v>320</v>
      </c>
      <c r="H1578" s="22">
        <v>18</v>
      </c>
      <c r="I1578" s="68">
        <f>Table1[[#This Row],[Total Weight Imported (lbs)]]*0.453592</f>
        <v>8.1646560000000008</v>
      </c>
      <c r="J1578" s="55">
        <v>18</v>
      </c>
      <c r="K1578" s="1"/>
    </row>
    <row r="1579" spans="1:11" ht="15.75" customHeight="1">
      <c r="A1579" s="42" t="s">
        <v>336</v>
      </c>
      <c r="B1579" s="46" t="s">
        <v>311</v>
      </c>
      <c r="C1579" s="46" t="s">
        <v>311</v>
      </c>
      <c r="D1579" s="46" t="str">
        <f>VLOOKUP(Table1[[#This Row],[Point of Origin]],Table2[#All],2,0)</f>
        <v>FSM</v>
      </c>
      <c r="E1579" s="46" t="str">
        <f>VLOOKUP(Table1[[#This Row],[Point of Origin]],Table2[#All],3,0)</f>
        <v>International</v>
      </c>
      <c r="F1579" s="46" t="s">
        <v>312</v>
      </c>
      <c r="G1579" s="58" t="s">
        <v>313</v>
      </c>
      <c r="H1579" s="22">
        <v>204</v>
      </c>
      <c r="I1579" s="68">
        <f>Table1[[#This Row],[Total Weight Imported (lbs)]]*0.453592</f>
        <v>92.532768000000004</v>
      </c>
      <c r="J1579" s="55">
        <v>204</v>
      </c>
      <c r="K1579" s="1"/>
    </row>
    <row r="1580" spans="1:11" ht="15.75" customHeight="1">
      <c r="A1580" s="42" t="s">
        <v>336</v>
      </c>
      <c r="B1580" s="46" t="s">
        <v>311</v>
      </c>
      <c r="C1580" s="46" t="s">
        <v>311</v>
      </c>
      <c r="D1580" s="46" t="str">
        <f>VLOOKUP(Table1[[#This Row],[Point of Origin]],Table2[#All],2,0)</f>
        <v>FSM</v>
      </c>
      <c r="E1580" s="46" t="str">
        <f>VLOOKUP(Table1[[#This Row],[Point of Origin]],Table2[#All],3,0)</f>
        <v>International</v>
      </c>
      <c r="F1580" s="46" t="s">
        <v>314</v>
      </c>
      <c r="G1580" s="58" t="s">
        <v>320</v>
      </c>
      <c r="H1580" s="22">
        <v>10</v>
      </c>
      <c r="I1580" s="68">
        <f>Table1[[#This Row],[Total Weight Imported (lbs)]]*0.453592</f>
        <v>4.53592</v>
      </c>
      <c r="J1580" s="55">
        <v>10</v>
      </c>
      <c r="K1580" s="1"/>
    </row>
    <row r="1581" spans="1:11" ht="15.75" customHeight="1">
      <c r="A1581" s="64" t="s">
        <v>337</v>
      </c>
      <c r="B1581" s="64" t="s">
        <v>311</v>
      </c>
      <c r="C1581" s="64" t="s">
        <v>311</v>
      </c>
      <c r="D1581" s="64" t="str">
        <f>VLOOKUP(Table1[[#This Row],[Point of Origin]],Table2[#All],2,0)</f>
        <v>FSM</v>
      </c>
      <c r="E1581" s="64" t="str">
        <f>VLOOKUP(Table1[[#This Row],[Point of Origin]],Table2[#All],3,0)</f>
        <v>International</v>
      </c>
      <c r="F1581" s="65" t="s">
        <v>312</v>
      </c>
      <c r="G1581" s="58" t="s">
        <v>313</v>
      </c>
      <c r="H1581" s="22">
        <v>189</v>
      </c>
      <c r="I1581" s="68">
        <f>Table1[[#This Row],[Total Weight Imported (lbs)]]*0.453592</f>
        <v>85.728887999999998</v>
      </c>
      <c r="J1581" s="55">
        <v>267</v>
      </c>
      <c r="K1581" s="1"/>
    </row>
    <row r="1582" spans="1:11" ht="15.75" customHeight="1">
      <c r="A1582" s="64" t="s">
        <v>337</v>
      </c>
      <c r="B1582" s="64" t="s">
        <v>311</v>
      </c>
      <c r="C1582" s="64" t="s">
        <v>311</v>
      </c>
      <c r="D1582" s="64" t="str">
        <f>VLOOKUP(Table1[[#This Row],[Point of Origin]],Table2[#All],2,0)</f>
        <v>FSM</v>
      </c>
      <c r="E1582" s="64" t="str">
        <f>VLOOKUP(Table1[[#This Row],[Point of Origin]],Table2[#All],3,0)</f>
        <v>International</v>
      </c>
      <c r="F1582" s="65" t="s">
        <v>314</v>
      </c>
      <c r="G1582" s="58" t="s">
        <v>320</v>
      </c>
      <c r="H1582" s="22">
        <v>16</v>
      </c>
      <c r="I1582" s="68">
        <f>Table1[[#This Row],[Total Weight Imported (lbs)]]*0.453592</f>
        <v>7.2574719999999999</v>
      </c>
      <c r="J1582" s="55">
        <v>97.5</v>
      </c>
      <c r="K1582" s="1"/>
    </row>
    <row r="1583" spans="1:11" ht="15.75" customHeight="1">
      <c r="A1583" s="42" t="s">
        <v>338</v>
      </c>
      <c r="B1583" s="46" t="s">
        <v>311</v>
      </c>
      <c r="C1583" s="46" t="s">
        <v>311</v>
      </c>
      <c r="D1583" s="46" t="str">
        <f>VLOOKUP(Table1[[#This Row],[Point of Origin]],Table2[#All],2,0)</f>
        <v>FSM</v>
      </c>
      <c r="E1583" s="46" t="str">
        <f>VLOOKUP(Table1[[#This Row],[Point of Origin]],Table2[#All],3,0)</f>
        <v>International</v>
      </c>
      <c r="F1583" s="46" t="s">
        <v>312</v>
      </c>
      <c r="G1583" s="58" t="s">
        <v>313</v>
      </c>
      <c r="H1583" s="22">
        <v>280</v>
      </c>
      <c r="I1583" s="68">
        <f>Table1[[#This Row],[Total Weight Imported (lbs)]]*0.453592</f>
        <v>127.00576</v>
      </c>
      <c r="J1583" s="55">
        <v>700</v>
      </c>
      <c r="K1583" s="1"/>
    </row>
    <row r="1584" spans="1:11" ht="15.75" customHeight="1">
      <c r="A1584" s="42" t="s">
        <v>338</v>
      </c>
      <c r="B1584" s="46" t="s">
        <v>311</v>
      </c>
      <c r="C1584" s="46" t="s">
        <v>311</v>
      </c>
      <c r="D1584" s="46" t="str">
        <f>VLOOKUP(Table1[[#This Row],[Point of Origin]],Table2[#All],2,0)</f>
        <v>FSM</v>
      </c>
      <c r="E1584" s="46" t="str">
        <f>VLOOKUP(Table1[[#This Row],[Point of Origin]],Table2[#All],3,0)</f>
        <v>International</v>
      </c>
      <c r="F1584" s="46" t="s">
        <v>314</v>
      </c>
      <c r="G1584" s="58" t="s">
        <v>320</v>
      </c>
      <c r="H1584" s="22">
        <v>31</v>
      </c>
      <c r="I1584" s="68">
        <f>Table1[[#This Row],[Total Weight Imported (lbs)]]*0.453592</f>
        <v>14.061351999999999</v>
      </c>
      <c r="J1584" s="55">
        <v>201.5</v>
      </c>
      <c r="K1584" s="1"/>
    </row>
    <row r="1585" spans="1:11" ht="15.75" customHeight="1">
      <c r="A1585" s="64" t="s">
        <v>339</v>
      </c>
      <c r="B1585" s="64" t="s">
        <v>311</v>
      </c>
      <c r="C1585" s="64" t="s">
        <v>311</v>
      </c>
      <c r="D1585" s="64" t="str">
        <f>VLOOKUP(Table1[[#This Row],[Point of Origin]],Table2[#All],2,0)</f>
        <v>FSM</v>
      </c>
      <c r="E1585" s="64" t="str">
        <f>VLOOKUP(Table1[[#This Row],[Point of Origin]],Table2[#All],3,0)</f>
        <v>International</v>
      </c>
      <c r="F1585" s="65" t="s">
        <v>312</v>
      </c>
      <c r="G1585" s="58" t="s">
        <v>313</v>
      </c>
      <c r="H1585" s="22">
        <v>2672</v>
      </c>
      <c r="I1585" s="68">
        <f>Table1[[#This Row],[Total Weight Imported (lbs)]]*0.453592</f>
        <v>1211.997824</v>
      </c>
      <c r="J1585" s="55">
        <v>6680</v>
      </c>
      <c r="K1585" s="1"/>
    </row>
    <row r="1586" spans="1:11" ht="15.75" customHeight="1">
      <c r="A1586" s="64" t="s">
        <v>339</v>
      </c>
      <c r="B1586" s="64" t="s">
        <v>311</v>
      </c>
      <c r="C1586" s="64" t="s">
        <v>311</v>
      </c>
      <c r="D1586" s="64" t="str">
        <f>VLOOKUP(Table1[[#This Row],[Point of Origin]],Table2[#All],2,0)</f>
        <v>FSM</v>
      </c>
      <c r="E1586" s="64" t="str">
        <f>VLOOKUP(Table1[[#This Row],[Point of Origin]],Table2[#All],3,0)</f>
        <v>International</v>
      </c>
      <c r="F1586" s="65" t="s">
        <v>314</v>
      </c>
      <c r="G1586" s="58" t="s">
        <v>320</v>
      </c>
      <c r="H1586" s="22">
        <v>570</v>
      </c>
      <c r="I1586" s="68">
        <f>Table1[[#This Row],[Total Weight Imported (lbs)]]*0.453592</f>
        <v>258.54743999999999</v>
      </c>
      <c r="J1586" s="55">
        <v>2855</v>
      </c>
      <c r="K1586" s="1"/>
    </row>
    <row r="1587" spans="1:11" ht="15.75" customHeight="1">
      <c r="A1587" s="42" t="s">
        <v>340</v>
      </c>
      <c r="B1587" s="46" t="s">
        <v>311</v>
      </c>
      <c r="C1587" s="46" t="s">
        <v>311</v>
      </c>
      <c r="D1587" s="46" t="str">
        <f>VLOOKUP(Table1[[#This Row],[Point of Origin]],Table2[#All],2,0)</f>
        <v>FSM</v>
      </c>
      <c r="E1587" s="46" t="str">
        <f>VLOOKUP(Table1[[#This Row],[Point of Origin]],Table2[#All],3,0)</f>
        <v>International</v>
      </c>
      <c r="F1587" s="46" t="s">
        <v>312</v>
      </c>
      <c r="G1587" s="58" t="s">
        <v>313</v>
      </c>
      <c r="H1587" s="22">
        <v>300</v>
      </c>
      <c r="I1587" s="68">
        <f>Table1[[#This Row],[Total Weight Imported (lbs)]]*0.453592</f>
        <v>136.07759999999999</v>
      </c>
      <c r="J1587" s="55">
        <v>300</v>
      </c>
      <c r="K1587" s="1"/>
    </row>
    <row r="1588" spans="1:11" ht="15.75" customHeight="1">
      <c r="A1588" s="42" t="s">
        <v>340</v>
      </c>
      <c r="B1588" s="46" t="s">
        <v>311</v>
      </c>
      <c r="C1588" s="46" t="s">
        <v>311</v>
      </c>
      <c r="D1588" s="46" t="str">
        <f>VLOOKUP(Table1[[#This Row],[Point of Origin]],Table2[#All],2,0)</f>
        <v>FSM</v>
      </c>
      <c r="E1588" s="46" t="str">
        <f>VLOOKUP(Table1[[#This Row],[Point of Origin]],Table2[#All],3,0)</f>
        <v>International</v>
      </c>
      <c r="F1588" s="46" t="s">
        <v>314</v>
      </c>
      <c r="G1588" s="58" t="s">
        <v>320</v>
      </c>
      <c r="H1588" s="22">
        <v>90</v>
      </c>
      <c r="I1588" s="68">
        <f>Table1[[#This Row],[Total Weight Imported (lbs)]]*0.453592</f>
        <v>40.823279999999997</v>
      </c>
      <c r="J1588" s="55">
        <v>27</v>
      </c>
      <c r="K1588" s="1"/>
    </row>
    <row r="1589" spans="1:11" ht="15.75" customHeight="1">
      <c r="A1589" s="64" t="s">
        <v>341</v>
      </c>
      <c r="B1589" s="64" t="s">
        <v>311</v>
      </c>
      <c r="C1589" s="64" t="s">
        <v>311</v>
      </c>
      <c r="D1589" s="64" t="str">
        <f>VLOOKUP(Table1[[#This Row],[Point of Origin]],Table2[#All],2,0)</f>
        <v>FSM</v>
      </c>
      <c r="E1589" s="64" t="str">
        <f>VLOOKUP(Table1[[#This Row],[Point of Origin]],Table2[#All],3,0)</f>
        <v>International</v>
      </c>
      <c r="F1589" s="65" t="s">
        <v>312</v>
      </c>
      <c r="G1589" s="58" t="s">
        <v>313</v>
      </c>
      <c r="H1589" s="22">
        <v>230</v>
      </c>
      <c r="I1589" s="68">
        <f>Table1[[#This Row],[Total Weight Imported (lbs)]]*0.453592</f>
        <v>104.32616</v>
      </c>
      <c r="J1589" s="55">
        <v>230</v>
      </c>
      <c r="K1589" s="1"/>
    </row>
    <row r="1590" spans="1:11" ht="15.75" customHeight="1">
      <c r="A1590" s="64" t="s">
        <v>341</v>
      </c>
      <c r="B1590" s="64" t="s">
        <v>311</v>
      </c>
      <c r="C1590" s="64" t="s">
        <v>311</v>
      </c>
      <c r="D1590" s="64" t="str">
        <f>VLOOKUP(Table1[[#This Row],[Point of Origin]],Table2[#All],2,0)</f>
        <v>FSM</v>
      </c>
      <c r="E1590" s="64" t="str">
        <f>VLOOKUP(Table1[[#This Row],[Point of Origin]],Table2[#All],3,0)</f>
        <v>International</v>
      </c>
      <c r="F1590" s="65" t="s">
        <v>314</v>
      </c>
      <c r="G1590" s="58" t="s">
        <v>320</v>
      </c>
      <c r="H1590" s="22">
        <v>100</v>
      </c>
      <c r="I1590" s="68">
        <f>Table1[[#This Row],[Total Weight Imported (lbs)]]*0.453592</f>
        <v>45.359200000000001</v>
      </c>
      <c r="J1590" s="55">
        <v>30</v>
      </c>
      <c r="K1590" s="1"/>
    </row>
    <row r="1591" spans="1:11" ht="15.75" customHeight="1">
      <c r="A1591" s="46" t="s">
        <v>342</v>
      </c>
      <c r="B1591" s="46" t="s">
        <v>46</v>
      </c>
      <c r="C1591" s="46" t="s">
        <v>46</v>
      </c>
      <c r="D1591" s="46" t="str">
        <f>VLOOKUP(Table1[[#This Row],[Point of Origin]],Table2[#All],2,0)</f>
        <v>Mexico</v>
      </c>
      <c r="E1591" s="46" t="str">
        <f>VLOOKUP(Table1[[#This Row],[Point of Origin]],Table2[#All],3,0)</f>
        <v>International</v>
      </c>
      <c r="F1591" s="46" t="s">
        <v>67</v>
      </c>
      <c r="G1591" s="58" t="s">
        <v>68</v>
      </c>
      <c r="H1591" s="74">
        <f>36</f>
        <v>36</v>
      </c>
      <c r="I1591" s="74">
        <f>Table1[[#This Row],[Total Weight Imported (lbs)]]*0.453592</f>
        <v>16.329312000000002</v>
      </c>
      <c r="J1591" s="75">
        <f>2160</f>
        <v>2160</v>
      </c>
      <c r="K1591" s="1"/>
    </row>
    <row r="1592" spans="1:11" ht="15.75" customHeight="1">
      <c r="A1592" s="46" t="s">
        <v>342</v>
      </c>
      <c r="B1592" s="46" t="s">
        <v>14</v>
      </c>
      <c r="C1592" s="46" t="s">
        <v>14</v>
      </c>
      <c r="D1592" s="46" t="str">
        <f>VLOOKUP(Table1[[#This Row],[Point of Origin]],Table2[#All],2,0)</f>
        <v>USA</v>
      </c>
      <c r="E1592" s="46" t="str">
        <f>VLOOKUP(Table1[[#This Row],[Point of Origin]],Table2[#All],3,0)</f>
        <v>Domestic</v>
      </c>
      <c r="F1592" s="46" t="s">
        <v>71</v>
      </c>
      <c r="G1592" s="58" t="s">
        <v>72</v>
      </c>
      <c r="H1592" s="74">
        <f>50+50</f>
        <v>100</v>
      </c>
      <c r="I1592" s="74">
        <f>Table1[[#This Row],[Total Weight Imported (lbs)]]*0.453592</f>
        <v>45.359200000000001</v>
      </c>
      <c r="J1592" s="75">
        <f>1750+1750</f>
        <v>3500</v>
      </c>
      <c r="K1592" s="41"/>
    </row>
    <row r="1593" spans="1:11" ht="15.75" customHeight="1">
      <c r="A1593" s="46" t="s">
        <v>342</v>
      </c>
      <c r="B1593" s="46" t="s">
        <v>14</v>
      </c>
      <c r="C1593" s="46" t="s">
        <v>14</v>
      </c>
      <c r="D1593" s="46" t="str">
        <f>VLOOKUP(Table1[[#This Row],[Point of Origin]],Table2[#All],2,0)</f>
        <v>USA</v>
      </c>
      <c r="E1593" s="46" t="str">
        <f>VLOOKUP(Table1[[#This Row],[Point of Origin]],Table2[#All],3,0)</f>
        <v>Domestic</v>
      </c>
      <c r="F1593" s="46" t="s">
        <v>143</v>
      </c>
      <c r="G1593" s="58" t="s">
        <v>144</v>
      </c>
      <c r="H1593" s="74">
        <f>9</f>
        <v>9</v>
      </c>
      <c r="I1593" s="74">
        <f>Table1[[#This Row],[Total Weight Imported (lbs)]]*0.453592</f>
        <v>4.0823280000000004</v>
      </c>
      <c r="J1593" s="75">
        <f>319.5</f>
        <v>319.5</v>
      </c>
      <c r="K1593" s="41"/>
    </row>
    <row r="1594" spans="1:11" ht="15.75" customHeight="1">
      <c r="A1594" s="46" t="s">
        <v>342</v>
      </c>
      <c r="B1594" s="46" t="s">
        <v>244</v>
      </c>
      <c r="C1594" s="46" t="s">
        <v>244</v>
      </c>
      <c r="D1594" s="46" t="str">
        <f>VLOOKUP(Table1[[#This Row],[Point of Origin]],Table2[#All],2,0)</f>
        <v>Chile</v>
      </c>
      <c r="E1594" s="46" t="str">
        <f>VLOOKUP(Table1[[#This Row],[Point of Origin]],Table2[#All],3,0)</f>
        <v>International</v>
      </c>
      <c r="F1594" s="47" t="s">
        <v>139</v>
      </c>
      <c r="G1594" s="58" t="s">
        <v>140</v>
      </c>
      <c r="H1594" s="74">
        <f>15</f>
        <v>15</v>
      </c>
      <c r="I1594" s="74">
        <f>Table1[[#This Row],[Total Weight Imported (lbs)]]*0.453592</f>
        <v>6.8038799999999995</v>
      </c>
      <c r="J1594" s="75">
        <f>690</f>
        <v>690</v>
      </c>
      <c r="K1594" s="41"/>
    </row>
    <row r="1595" spans="1:11" ht="15.75" customHeight="1">
      <c r="A1595" s="46" t="s">
        <v>342</v>
      </c>
      <c r="B1595" s="46" t="s">
        <v>111</v>
      </c>
      <c r="C1595" s="46" t="s">
        <v>111</v>
      </c>
      <c r="D1595" s="46" t="str">
        <f>VLOOKUP(Table1[[#This Row],[Point of Origin]],Table2[#All],2,0)</f>
        <v>New Zealand</v>
      </c>
      <c r="E1595" s="46" t="str">
        <f>VLOOKUP(Table1[[#This Row],[Point of Origin]],Table2[#All],3,0)</f>
        <v>International</v>
      </c>
      <c r="F1595" s="47" t="s">
        <v>139</v>
      </c>
      <c r="G1595" s="58" t="s">
        <v>140</v>
      </c>
      <c r="H1595" s="74">
        <f>30+50</f>
        <v>80</v>
      </c>
      <c r="I1595" s="74">
        <f>Table1[[#This Row],[Total Weight Imported (lbs)]]*0.453592</f>
        <v>36.28736</v>
      </c>
      <c r="J1595" s="75">
        <f>510+1475</f>
        <v>1985</v>
      </c>
      <c r="K1595" s="41"/>
    </row>
    <row r="1596" spans="1:11" ht="15.75" customHeight="1">
      <c r="A1596" s="46" t="s">
        <v>342</v>
      </c>
      <c r="B1596" s="46" t="s">
        <v>14</v>
      </c>
      <c r="C1596" s="46" t="s">
        <v>14</v>
      </c>
      <c r="D1596" s="46" t="str">
        <f>VLOOKUP(Table1[[#This Row],[Point of Origin]],Table2[#All],2,0)</f>
        <v>USA</v>
      </c>
      <c r="E1596" s="46" t="str">
        <f>VLOOKUP(Table1[[#This Row],[Point of Origin]],Table2[#All],3,0)</f>
        <v>Domestic</v>
      </c>
      <c r="F1596" s="47" t="s">
        <v>137</v>
      </c>
      <c r="G1596" s="58" t="s">
        <v>138</v>
      </c>
      <c r="H1596" s="74">
        <f>108+9</f>
        <v>117</v>
      </c>
      <c r="I1596" s="74">
        <f>Table1[[#This Row],[Total Weight Imported (lbs)]]*0.453592</f>
        <v>53.070264000000002</v>
      </c>
      <c r="J1596" s="75">
        <f>3186+265.5</f>
        <v>3451.5</v>
      </c>
      <c r="K1596" s="1"/>
    </row>
    <row r="1597" spans="1:11" ht="15.75" customHeight="1">
      <c r="A1597" s="46" t="s">
        <v>342</v>
      </c>
      <c r="B1597" s="46" t="s">
        <v>46</v>
      </c>
      <c r="C1597" s="46" t="s">
        <v>46</v>
      </c>
      <c r="D1597" s="46" t="str">
        <f>VLOOKUP(Table1[[#This Row],[Point of Origin]],Table2[#All],2,0)</f>
        <v>Mexico</v>
      </c>
      <c r="E1597" s="46" t="str">
        <f>VLOOKUP(Table1[[#This Row],[Point of Origin]],Table2[#All],3,0)</f>
        <v>International</v>
      </c>
      <c r="F1597" s="47" t="s">
        <v>147</v>
      </c>
      <c r="G1597" s="58" t="s">
        <v>138</v>
      </c>
      <c r="H1597" s="74">
        <f>25</f>
        <v>25</v>
      </c>
      <c r="I1597" s="74">
        <f>Table1[[#This Row],[Total Weight Imported (lbs)]]*0.453592</f>
        <v>11.3398</v>
      </c>
      <c r="J1597" s="75">
        <f>1050</f>
        <v>1050</v>
      </c>
      <c r="K1597" s="41"/>
    </row>
    <row r="1598" spans="1:11" ht="15.75" customHeight="1">
      <c r="A1598" s="46" t="s">
        <v>342</v>
      </c>
      <c r="B1598" s="46" t="s">
        <v>343</v>
      </c>
      <c r="C1598" s="46" t="s">
        <v>343</v>
      </c>
      <c r="D1598" s="46" t="str">
        <f>VLOOKUP(Table1[[#This Row],[Point of Origin]],Table2[#All],2,0)</f>
        <v> Ecuador</v>
      </c>
      <c r="E1598" s="46" t="str">
        <f>VLOOKUP(Table1[[#This Row],[Point of Origin]],Table2[#All],3,0)</f>
        <v>International</v>
      </c>
      <c r="F1598" s="46" t="s">
        <v>48</v>
      </c>
      <c r="G1598" s="58" t="s">
        <v>49</v>
      </c>
      <c r="H1598" s="74">
        <f>325</f>
        <v>325</v>
      </c>
      <c r="I1598" s="74">
        <f>Table1[[#This Row],[Total Weight Imported (lbs)]]*0.453592</f>
        <v>147.41739999999999</v>
      </c>
      <c r="J1598" s="75">
        <f>6825</f>
        <v>6825</v>
      </c>
      <c r="K1598" s="41"/>
    </row>
    <row r="1599" spans="1:11" ht="15.75" customHeight="1">
      <c r="A1599" s="46" t="s">
        <v>342</v>
      </c>
      <c r="B1599" s="46" t="s">
        <v>14</v>
      </c>
      <c r="C1599" s="46" t="s">
        <v>14</v>
      </c>
      <c r="D1599" s="46" t="str">
        <f>VLOOKUP(Table1[[#This Row],[Point of Origin]],Table2[#All],2,0)</f>
        <v>USA</v>
      </c>
      <c r="E1599" s="46" t="str">
        <f>VLOOKUP(Table1[[#This Row],[Point of Origin]],Table2[#All],3,0)</f>
        <v>Domestic</v>
      </c>
      <c r="F1599" s="47" t="s">
        <v>157</v>
      </c>
      <c r="G1599" s="58" t="s">
        <v>127</v>
      </c>
      <c r="H1599" s="74">
        <f>32+40</f>
        <v>72</v>
      </c>
      <c r="I1599" s="74">
        <f>Table1[[#This Row],[Total Weight Imported (lbs)]]*0.453592</f>
        <v>32.658624000000003</v>
      </c>
      <c r="J1599" s="75">
        <f>544+680</f>
        <v>1224</v>
      </c>
      <c r="K1599" s="1"/>
    </row>
    <row r="1600" spans="1:11" ht="15.75" customHeight="1">
      <c r="A1600" s="46" t="s">
        <v>342</v>
      </c>
      <c r="B1600" s="46" t="s">
        <v>14</v>
      </c>
      <c r="C1600" s="46" t="s">
        <v>14</v>
      </c>
      <c r="D1600" s="46" t="str">
        <f>VLOOKUP(Table1[[#This Row],[Point of Origin]],Table2[#All],2,0)</f>
        <v>USA</v>
      </c>
      <c r="E1600" s="46" t="str">
        <f>VLOOKUP(Table1[[#This Row],[Point of Origin]],Table2[#All],3,0)</f>
        <v>Domestic</v>
      </c>
      <c r="F1600" s="47" t="s">
        <v>158</v>
      </c>
      <c r="G1600" s="58" t="s">
        <v>127</v>
      </c>
      <c r="H1600" s="74">
        <f>14+21</f>
        <v>35</v>
      </c>
      <c r="I1600" s="74">
        <f>Table1[[#This Row],[Total Weight Imported (lbs)]]*0.453592</f>
        <v>15.875719999999999</v>
      </c>
      <c r="J1600" s="75">
        <f>238+357</f>
        <v>595</v>
      </c>
      <c r="K1600" s="41"/>
    </row>
    <row r="1601" spans="1:11" ht="15.75" customHeight="1">
      <c r="A1601" s="46" t="s">
        <v>342</v>
      </c>
      <c r="B1601" s="46" t="s">
        <v>46</v>
      </c>
      <c r="C1601" s="46" t="s">
        <v>46</v>
      </c>
      <c r="D1601" s="46" t="str">
        <f>VLOOKUP(Table1[[#This Row],[Point of Origin]],Table2[#All],2,0)</f>
        <v>Mexico</v>
      </c>
      <c r="E1601" s="46" t="str">
        <f>VLOOKUP(Table1[[#This Row],[Point of Origin]],Table2[#All],3,0)</f>
        <v>International</v>
      </c>
      <c r="F1601" s="46" t="s">
        <v>161</v>
      </c>
      <c r="G1601" s="58" t="s">
        <v>162</v>
      </c>
      <c r="H1601" s="74">
        <f>28</f>
        <v>28</v>
      </c>
      <c r="I1601" s="74">
        <f>Table1[[#This Row],[Total Weight Imported (lbs)]]*0.453592</f>
        <v>12.700576</v>
      </c>
      <c r="J1601" s="75">
        <f>840</f>
        <v>840</v>
      </c>
      <c r="K1601" s="41"/>
    </row>
    <row r="1602" spans="1:11" ht="15.75" customHeight="1">
      <c r="A1602" s="46" t="s">
        <v>342</v>
      </c>
      <c r="B1602" s="46" t="s">
        <v>245</v>
      </c>
      <c r="C1602" s="46" t="s">
        <v>245</v>
      </c>
      <c r="D1602" s="46" t="str">
        <f>VLOOKUP(Table1[[#This Row],[Point of Origin]],Table2[#All],2,0)</f>
        <v>Costa Rica</v>
      </c>
      <c r="E1602" s="46" t="str">
        <f>VLOOKUP(Table1[[#This Row],[Point of Origin]],Table2[#All],3,0)</f>
        <v>International</v>
      </c>
      <c r="F1602" s="46" t="s">
        <v>159</v>
      </c>
      <c r="G1602" s="58" t="s">
        <v>160</v>
      </c>
      <c r="H1602" s="74">
        <f t="shared" ref="H1602:H1603" si="6">40</f>
        <v>40</v>
      </c>
      <c r="I1602" s="74">
        <f>Table1[[#This Row],[Total Weight Imported (lbs)]]*0.453592</f>
        <v>18.14368</v>
      </c>
      <c r="J1602" s="75">
        <f>720</f>
        <v>720</v>
      </c>
      <c r="K1602" s="1"/>
    </row>
    <row r="1603" spans="1:11" ht="15.75" customHeight="1">
      <c r="A1603" s="46" t="s">
        <v>342</v>
      </c>
      <c r="B1603" s="46" t="s">
        <v>46</v>
      </c>
      <c r="C1603" s="46" t="s">
        <v>46</v>
      </c>
      <c r="D1603" s="46" t="str">
        <f>VLOOKUP(Table1[[#This Row],[Point of Origin]],Table2[#All],2,0)</f>
        <v>Mexico</v>
      </c>
      <c r="E1603" s="46" t="str">
        <f>VLOOKUP(Table1[[#This Row],[Point of Origin]],Table2[#All],3,0)</f>
        <v>International</v>
      </c>
      <c r="F1603" s="46" t="s">
        <v>15</v>
      </c>
      <c r="G1603" s="58" t="s">
        <v>16</v>
      </c>
      <c r="H1603" s="74">
        <f t="shared" si="6"/>
        <v>40</v>
      </c>
      <c r="I1603" s="74">
        <f>Table1[[#This Row],[Total Weight Imported (lbs)]]*0.453592</f>
        <v>18.14368</v>
      </c>
      <c r="J1603" s="75">
        <f>1400</f>
        <v>1400</v>
      </c>
      <c r="K1603" s="1"/>
    </row>
    <row r="1604" spans="1:11" ht="15.75" customHeight="1">
      <c r="A1604" s="46" t="s">
        <v>342</v>
      </c>
      <c r="B1604" s="46" t="s">
        <v>46</v>
      </c>
      <c r="C1604" s="46" t="s">
        <v>46</v>
      </c>
      <c r="D1604" s="46" t="str">
        <f>VLOOKUP(Table1[[#This Row],[Point of Origin]],Table2[#All],2,0)</f>
        <v>Mexico</v>
      </c>
      <c r="E1604" s="46" t="str">
        <f>VLOOKUP(Table1[[#This Row],[Point of Origin]],Table2[#All],3,0)</f>
        <v>International</v>
      </c>
      <c r="F1604" s="46" t="s">
        <v>124</v>
      </c>
      <c r="G1604" s="58" t="s">
        <v>30</v>
      </c>
      <c r="H1604" s="74">
        <f>12</f>
        <v>12</v>
      </c>
      <c r="I1604" s="74">
        <f>Table1[[#This Row],[Total Weight Imported (lbs)]]*0.453592</f>
        <v>5.4431039999999999</v>
      </c>
      <c r="J1604" s="75">
        <f>168</f>
        <v>168</v>
      </c>
      <c r="K1604" s="41"/>
    </row>
    <row r="1605" spans="1:11" ht="15.75" customHeight="1">
      <c r="A1605" s="46" t="s">
        <v>342</v>
      </c>
      <c r="B1605" s="46" t="s">
        <v>46</v>
      </c>
      <c r="C1605" s="46" t="s">
        <v>46</v>
      </c>
      <c r="D1605" s="46" t="str">
        <f>VLOOKUP(Table1[[#This Row],[Point of Origin]],Table2[#All],2,0)</f>
        <v>Mexico</v>
      </c>
      <c r="E1605" s="46" t="str">
        <f>VLOOKUP(Table1[[#This Row],[Point of Origin]],Table2[#All],3,0)</f>
        <v>International</v>
      </c>
      <c r="F1605" s="46" t="s">
        <v>61</v>
      </c>
      <c r="G1605" s="58" t="s">
        <v>62</v>
      </c>
      <c r="H1605" s="74">
        <f>14+50+28+45+70</f>
        <v>207</v>
      </c>
      <c r="I1605" s="74">
        <f>Table1[[#This Row],[Total Weight Imported (lbs)]]*0.453592</f>
        <v>93.893544000000006</v>
      </c>
      <c r="J1605" s="75">
        <f>378+800+644+720+1190</f>
        <v>3732</v>
      </c>
      <c r="K1605" s="41"/>
    </row>
    <row r="1606" spans="1:11" ht="15.75" customHeight="1">
      <c r="A1606" s="46" t="s">
        <v>342</v>
      </c>
      <c r="B1606" s="46" t="s">
        <v>14</v>
      </c>
      <c r="C1606" s="46" t="s">
        <v>14</v>
      </c>
      <c r="D1606" s="46" t="str">
        <f>VLOOKUP(Table1[[#This Row],[Point of Origin]],Table2[#All],2,0)</f>
        <v>USA</v>
      </c>
      <c r="E1606" s="46" t="str">
        <f>VLOOKUP(Table1[[#This Row],[Point of Origin]],Table2[#All],3,0)</f>
        <v>Domestic</v>
      </c>
      <c r="F1606" s="46" t="s">
        <v>82</v>
      </c>
      <c r="G1606" s="58" t="s">
        <v>20</v>
      </c>
      <c r="H1606" s="74">
        <f>35</f>
        <v>35</v>
      </c>
      <c r="I1606" s="74">
        <f>Table1[[#This Row],[Total Weight Imported (lbs)]]*0.453592</f>
        <v>15.875719999999999</v>
      </c>
      <c r="J1606" s="75">
        <f>1076.25</f>
        <v>1076.25</v>
      </c>
      <c r="K1606" s="1"/>
    </row>
    <row r="1607" spans="1:11" ht="15.75" customHeight="1">
      <c r="A1607" s="46" t="s">
        <v>342</v>
      </c>
      <c r="B1607" s="46" t="s">
        <v>14</v>
      </c>
      <c r="C1607" s="46" t="s">
        <v>14</v>
      </c>
      <c r="D1607" s="46" t="str">
        <f>VLOOKUP(Table1[[#This Row],[Point of Origin]],Table2[#All],2,0)</f>
        <v>USA</v>
      </c>
      <c r="E1607" s="46" t="str">
        <f>VLOOKUP(Table1[[#This Row],[Point of Origin]],Table2[#All],3,0)</f>
        <v>Domestic</v>
      </c>
      <c r="F1607" s="46" t="s">
        <v>40</v>
      </c>
      <c r="G1607" s="58" t="s">
        <v>41</v>
      </c>
      <c r="H1607" s="74">
        <f>24+10+6</f>
        <v>40</v>
      </c>
      <c r="I1607" s="74">
        <f>Table1[[#This Row],[Total Weight Imported (lbs)]]*0.453592</f>
        <v>18.14368</v>
      </c>
      <c r="J1607" s="75">
        <f>720+160+150</f>
        <v>1030</v>
      </c>
      <c r="K1607" s="1"/>
    </row>
    <row r="1608" spans="1:11" ht="15.75" customHeight="1">
      <c r="A1608" s="46" t="s">
        <v>342</v>
      </c>
      <c r="B1608" s="46" t="s">
        <v>14</v>
      </c>
      <c r="C1608" s="46" t="s">
        <v>14</v>
      </c>
      <c r="D1608" s="46" t="str">
        <f>VLOOKUP(Table1[[#This Row],[Point of Origin]],Table2[#All],2,0)</f>
        <v>USA</v>
      </c>
      <c r="E1608" s="46" t="str">
        <f>VLOOKUP(Table1[[#This Row],[Point of Origin]],Table2[#All],3,0)</f>
        <v>Domestic</v>
      </c>
      <c r="F1608" s="46" t="s">
        <v>56</v>
      </c>
      <c r="G1608" s="58" t="s">
        <v>57</v>
      </c>
      <c r="H1608" s="74">
        <f>12+32</f>
        <v>44</v>
      </c>
      <c r="I1608" s="74">
        <f>Table1[[#This Row],[Total Weight Imported (lbs)]]*0.453592</f>
        <v>19.958047999999998</v>
      </c>
      <c r="J1608" s="75">
        <f>240+512</f>
        <v>752</v>
      </c>
      <c r="K1608" s="41"/>
    </row>
    <row r="1609" spans="1:11" ht="15.75" customHeight="1">
      <c r="A1609" s="46" t="s">
        <v>342</v>
      </c>
      <c r="B1609" s="46" t="s">
        <v>46</v>
      </c>
      <c r="C1609" s="46" t="s">
        <v>46</v>
      </c>
      <c r="D1609" s="46" t="str">
        <f>VLOOKUP(Table1[[#This Row],[Point of Origin]],Table2[#All],2,0)</f>
        <v>Mexico</v>
      </c>
      <c r="E1609" s="46" t="str">
        <f>VLOOKUP(Table1[[#This Row],[Point of Origin]],Table2[#All],3,0)</f>
        <v>International</v>
      </c>
      <c r="F1609" s="46" t="s">
        <v>61</v>
      </c>
      <c r="G1609" s="58" t="s">
        <v>62</v>
      </c>
      <c r="H1609" s="74">
        <f>35+10</f>
        <v>45</v>
      </c>
      <c r="I1609" s="74">
        <f>Table1[[#This Row],[Total Weight Imported (lbs)]]*0.453592</f>
        <v>20.411639999999998</v>
      </c>
      <c r="J1609" s="75">
        <f>418.25+119.5</f>
        <v>537.75</v>
      </c>
      <c r="K1609" s="41"/>
    </row>
    <row r="1610" spans="1:11" ht="15.75" customHeight="1">
      <c r="A1610" s="46" t="s">
        <v>342</v>
      </c>
      <c r="B1610" s="46" t="s">
        <v>14</v>
      </c>
      <c r="C1610" s="46" t="s">
        <v>14</v>
      </c>
      <c r="D1610" s="46" t="str">
        <f>VLOOKUP(Table1[[#This Row],[Point of Origin]],Table2[#All],2,0)</f>
        <v>USA</v>
      </c>
      <c r="E1610" s="46" t="str">
        <f>VLOOKUP(Table1[[#This Row],[Point of Origin]],Table2[#All],3,0)</f>
        <v>Domestic</v>
      </c>
      <c r="F1610" s="46" t="s">
        <v>61</v>
      </c>
      <c r="G1610" s="58" t="s">
        <v>62</v>
      </c>
      <c r="H1610" s="74">
        <f>9</f>
        <v>9</v>
      </c>
      <c r="I1610" s="74">
        <f>Table1[[#This Row],[Total Weight Imported (lbs)]]*0.453592</f>
        <v>4.0823280000000004</v>
      </c>
      <c r="J1610" s="75">
        <f>107.55</f>
        <v>107.55</v>
      </c>
      <c r="K1610" s="41"/>
    </row>
    <row r="1611" spans="1:11" ht="15.75" customHeight="1">
      <c r="A1611" s="46" t="s">
        <v>342</v>
      </c>
      <c r="B1611" s="46" t="s">
        <v>46</v>
      </c>
      <c r="C1611" s="46" t="s">
        <v>46</v>
      </c>
      <c r="D1611" s="46" t="str">
        <f>VLOOKUP(Table1[[#This Row],[Point of Origin]],Table2[#All],2,0)</f>
        <v>Mexico</v>
      </c>
      <c r="E1611" s="46" t="str">
        <f>VLOOKUP(Table1[[#This Row],[Point of Origin]],Table2[#All],3,0)</f>
        <v>International</v>
      </c>
      <c r="F1611" s="47" t="s">
        <v>146</v>
      </c>
      <c r="G1611" s="76" t="s">
        <v>32</v>
      </c>
      <c r="H1611" s="74">
        <f>12</f>
        <v>12</v>
      </c>
      <c r="I1611" s="74">
        <f>Table1[[#This Row],[Total Weight Imported (lbs)]]*0.453592</f>
        <v>5.4431039999999999</v>
      </c>
      <c r="J1611" s="75">
        <f>143.4</f>
        <v>143.4</v>
      </c>
      <c r="K1611" s="41"/>
    </row>
    <row r="1612" spans="1:11" ht="15.75" customHeight="1">
      <c r="A1612" s="46" t="s">
        <v>342</v>
      </c>
      <c r="B1612" s="46" t="s">
        <v>291</v>
      </c>
      <c r="C1612" s="46" t="s">
        <v>291</v>
      </c>
      <c r="D1612" s="46" t="str">
        <f>VLOOKUP(Table1[[#This Row],[Point of Origin]],Table2[#All],2,0)</f>
        <v>Spain</v>
      </c>
      <c r="E1612" s="46" t="str">
        <f>VLOOKUP(Table1[[#This Row],[Point of Origin]],Table2[#All],3,0)</f>
        <v>International</v>
      </c>
      <c r="F1612" s="47" t="s">
        <v>96</v>
      </c>
      <c r="G1612" s="58" t="s">
        <v>97</v>
      </c>
      <c r="H1612" s="74">
        <f>8</f>
        <v>8</v>
      </c>
      <c r="I1612" s="74">
        <f>Table1[[#This Row],[Total Weight Imported (lbs)]]*0.453592</f>
        <v>3.628736</v>
      </c>
      <c r="J1612" s="75">
        <f>612</f>
        <v>612</v>
      </c>
      <c r="K1612" s="41"/>
    </row>
    <row r="1613" spans="1:11" ht="15.75" customHeight="1">
      <c r="A1613" s="46" t="s">
        <v>342</v>
      </c>
      <c r="B1613" s="46" t="s">
        <v>344</v>
      </c>
      <c r="C1613" s="46" t="s">
        <v>344</v>
      </c>
      <c r="D1613" s="46" t="str">
        <f>VLOOKUP(Table1[[#This Row],[Point of Origin]],Table2[#All],2,0)</f>
        <v>Switzerland</v>
      </c>
      <c r="E1613" s="46" t="str">
        <f>VLOOKUP(Table1[[#This Row],[Point of Origin]],Table2[#All],3,0)</f>
        <v>International</v>
      </c>
      <c r="F1613" s="47" t="s">
        <v>163</v>
      </c>
      <c r="G1613" s="58" t="s">
        <v>164</v>
      </c>
      <c r="H1613" s="74">
        <f>21</f>
        <v>21</v>
      </c>
      <c r="I1613" s="74">
        <f>Table1[[#This Row],[Total Weight Imported (lbs)]]*0.453592</f>
        <v>9.5254320000000003</v>
      </c>
      <c r="J1613" s="75">
        <f>840</f>
        <v>840</v>
      </c>
      <c r="K1613" s="41"/>
    </row>
    <row r="1614" spans="1:11" ht="15.75" customHeight="1">
      <c r="A1614" s="46" t="s">
        <v>342</v>
      </c>
      <c r="B1614" s="46" t="s">
        <v>14</v>
      </c>
      <c r="C1614" s="46" t="s">
        <v>14</v>
      </c>
      <c r="D1614" s="46" t="str">
        <f>VLOOKUP(Table1[[#This Row],[Point of Origin]],Table2[#All],2,0)</f>
        <v>USA</v>
      </c>
      <c r="E1614" s="46" t="str">
        <f>VLOOKUP(Table1[[#This Row],[Point of Origin]],Table2[#All],3,0)</f>
        <v>Domestic</v>
      </c>
      <c r="F1614" s="46" t="s">
        <v>36</v>
      </c>
      <c r="G1614" s="58" t="s">
        <v>37</v>
      </c>
      <c r="H1614" s="74">
        <f>25+12</f>
        <v>37</v>
      </c>
      <c r="I1614" s="74">
        <f>Table1[[#This Row],[Total Weight Imported (lbs)]]*0.453592</f>
        <v>16.782903999999998</v>
      </c>
      <c r="J1614" s="75">
        <f>512.5+282</f>
        <v>794.5</v>
      </c>
      <c r="K1614" s="1"/>
    </row>
    <row r="1615" spans="1:11" ht="15.75" customHeight="1">
      <c r="A1615" s="46" t="s">
        <v>342</v>
      </c>
      <c r="B1615" s="46" t="s">
        <v>14</v>
      </c>
      <c r="C1615" s="46" t="s">
        <v>14</v>
      </c>
      <c r="D1615" s="46" t="str">
        <f>VLOOKUP(Table1[[#This Row],[Point of Origin]],Table2[#All],2,0)</f>
        <v>USA</v>
      </c>
      <c r="E1615" s="46" t="str">
        <f>VLOOKUP(Table1[[#This Row],[Point of Origin]],Table2[#All],3,0)</f>
        <v>Domestic</v>
      </c>
      <c r="F1615" s="47" t="s">
        <v>58</v>
      </c>
      <c r="G1615" s="58" t="s">
        <v>34</v>
      </c>
      <c r="H1615" s="74">
        <f>110</f>
        <v>110</v>
      </c>
      <c r="I1615" s="74">
        <f>Table1[[#This Row],[Total Weight Imported (lbs)]]*0.453592</f>
        <v>49.895119999999999</v>
      </c>
      <c r="J1615" s="75">
        <f>3190</f>
        <v>3190</v>
      </c>
      <c r="K1615" s="1"/>
    </row>
    <row r="1616" spans="1:11" ht="15.75" customHeight="1">
      <c r="A1616" s="46" t="s">
        <v>342</v>
      </c>
      <c r="B1616" s="46" t="s">
        <v>14</v>
      </c>
      <c r="C1616" s="46" t="s">
        <v>14</v>
      </c>
      <c r="D1616" s="46" t="str">
        <f>VLOOKUP(Table1[[#This Row],[Point of Origin]],Table2[#All],2,0)</f>
        <v>USA</v>
      </c>
      <c r="E1616" s="46" t="str">
        <f>VLOOKUP(Table1[[#This Row],[Point of Origin]],Table2[#All],3,0)</f>
        <v>Domestic</v>
      </c>
      <c r="F1616" s="46" t="s">
        <v>76</v>
      </c>
      <c r="G1616" s="58" t="s">
        <v>77</v>
      </c>
      <c r="H1616" s="74">
        <f>30+10</f>
        <v>40</v>
      </c>
      <c r="I1616" s="74">
        <f>Table1[[#This Row],[Total Weight Imported (lbs)]]*0.453592</f>
        <v>18.14368</v>
      </c>
      <c r="J1616" s="75">
        <f>585+190</f>
        <v>775</v>
      </c>
      <c r="K1616" s="1"/>
    </row>
    <row r="1617" spans="1:11" ht="15.75" customHeight="1">
      <c r="A1617" s="46" t="s">
        <v>342</v>
      </c>
      <c r="B1617" s="46" t="s">
        <v>14</v>
      </c>
      <c r="C1617" s="46" t="s">
        <v>14</v>
      </c>
      <c r="D1617" s="46" t="str">
        <f>VLOOKUP(Table1[[#This Row],[Point of Origin]],Table2[#All],2,0)</f>
        <v>USA</v>
      </c>
      <c r="E1617" s="46" t="str">
        <f>VLOOKUP(Table1[[#This Row],[Point of Origin]],Table2[#All],3,0)</f>
        <v>Domestic</v>
      </c>
      <c r="F1617" s="46" t="s">
        <v>54</v>
      </c>
      <c r="G1617" s="58" t="s">
        <v>30</v>
      </c>
      <c r="H1617" s="74">
        <f t="shared" ref="H1617:H1618" si="7">12</f>
        <v>12</v>
      </c>
      <c r="I1617" s="74">
        <f>Table1[[#This Row],[Total Weight Imported (lbs)]]*0.453592</f>
        <v>5.4431039999999999</v>
      </c>
      <c r="J1617" s="75">
        <f>300</f>
        <v>300</v>
      </c>
      <c r="K1617" s="1"/>
    </row>
    <row r="1618" spans="1:11" ht="15.75" customHeight="1">
      <c r="A1618" s="46" t="s">
        <v>342</v>
      </c>
      <c r="B1618" s="46" t="s">
        <v>245</v>
      </c>
      <c r="C1618" s="46" t="s">
        <v>245</v>
      </c>
      <c r="D1618" s="46" t="str">
        <f>VLOOKUP(Table1[[#This Row],[Point of Origin]],Table2[#All],2,0)</f>
        <v>Costa Rica</v>
      </c>
      <c r="E1618" s="46" t="str">
        <f>VLOOKUP(Table1[[#This Row],[Point of Origin]],Table2[#All],3,0)</f>
        <v>International</v>
      </c>
      <c r="F1618" s="47" t="s">
        <v>184</v>
      </c>
      <c r="G1618" s="58" t="s">
        <v>185</v>
      </c>
      <c r="H1618" s="74">
        <f t="shared" si="7"/>
        <v>12</v>
      </c>
      <c r="I1618" s="74">
        <f>Table1[[#This Row],[Total Weight Imported (lbs)]]*0.453592</f>
        <v>5.4431039999999999</v>
      </c>
      <c r="J1618" s="75">
        <f>456</f>
        <v>456</v>
      </c>
      <c r="K1618" s="1"/>
    </row>
    <row r="1619" spans="1:11" ht="15.75" customHeight="1">
      <c r="A1619" s="46" t="s">
        <v>342</v>
      </c>
      <c r="B1619" s="46" t="s">
        <v>14</v>
      </c>
      <c r="C1619" s="46" t="s">
        <v>14</v>
      </c>
      <c r="D1619" s="46" t="str">
        <f>VLOOKUP(Table1[[#This Row],[Point of Origin]],Table2[#All],2,0)</f>
        <v>USA</v>
      </c>
      <c r="E1619" s="46" t="str">
        <f>VLOOKUP(Table1[[#This Row],[Point of Origin]],Table2[#All],3,0)</f>
        <v>Domestic</v>
      </c>
      <c r="F1619" s="46" t="s">
        <v>63</v>
      </c>
      <c r="G1619" s="58" t="s">
        <v>64</v>
      </c>
      <c r="H1619" s="74">
        <f>3+21</f>
        <v>24</v>
      </c>
      <c r="I1619" s="74">
        <f>Table1[[#This Row],[Total Weight Imported (lbs)]]*0.453592</f>
        <v>10.886208</v>
      </c>
      <c r="J1619" s="75">
        <f>54+483</f>
        <v>537</v>
      </c>
      <c r="K1619" s="1"/>
    </row>
    <row r="1620" spans="1:11" ht="15.75" customHeight="1">
      <c r="A1620" s="46" t="s">
        <v>342</v>
      </c>
      <c r="B1620" s="46" t="s">
        <v>46</v>
      </c>
      <c r="C1620" s="46" t="s">
        <v>46</v>
      </c>
      <c r="D1620" s="46" t="str">
        <f>VLOOKUP(Table1[[#This Row],[Point of Origin]],Table2[#All],2,0)</f>
        <v>Mexico</v>
      </c>
      <c r="E1620" s="46" t="str">
        <f>VLOOKUP(Table1[[#This Row],[Point of Origin]],Table2[#All],3,0)</f>
        <v>International</v>
      </c>
      <c r="F1620" s="46" t="s">
        <v>63</v>
      </c>
      <c r="G1620" s="58" t="s">
        <v>64</v>
      </c>
      <c r="H1620" s="74">
        <f>7</f>
        <v>7</v>
      </c>
      <c r="I1620" s="74">
        <f>Table1[[#This Row],[Total Weight Imported (lbs)]]*0.453592</f>
        <v>3.175144</v>
      </c>
      <c r="J1620" s="75">
        <f>105</f>
        <v>105</v>
      </c>
      <c r="K1620" s="1"/>
    </row>
    <row r="1621" spans="1:11" ht="15.75" customHeight="1">
      <c r="A1621" s="46" t="s">
        <v>342</v>
      </c>
      <c r="B1621" s="46" t="s">
        <v>46</v>
      </c>
      <c r="C1621" s="46" t="s">
        <v>46</v>
      </c>
      <c r="D1621" s="46" t="str">
        <f>VLOOKUP(Table1[[#This Row],[Point of Origin]],Table2[#All],2,0)</f>
        <v>Mexico</v>
      </c>
      <c r="E1621" s="46" t="str">
        <f>VLOOKUP(Table1[[#This Row],[Point of Origin]],Table2[#All],3,0)</f>
        <v>International</v>
      </c>
      <c r="F1621" s="46" t="s">
        <v>38</v>
      </c>
      <c r="G1621" s="58" t="s">
        <v>39</v>
      </c>
      <c r="H1621" s="74">
        <f>32+16+48+8+48</f>
        <v>152</v>
      </c>
      <c r="I1621" s="74">
        <f>Table1[[#This Row],[Total Weight Imported (lbs)]]*0.453592</f>
        <v>68.945983999999996</v>
      </c>
      <c r="J1621" s="75">
        <f>640+416+1008+240+1200</f>
        <v>3504</v>
      </c>
      <c r="K1621" s="1"/>
    </row>
    <row r="1622" spans="1:11" ht="15.75" customHeight="1">
      <c r="A1622" s="46" t="s">
        <v>342</v>
      </c>
      <c r="B1622" s="46" t="s">
        <v>14</v>
      </c>
      <c r="C1622" s="46" t="s">
        <v>14</v>
      </c>
      <c r="D1622" s="46" t="str">
        <f>VLOOKUP(Table1[[#This Row],[Point of Origin]],Table2[#All],2,0)</f>
        <v>USA</v>
      </c>
      <c r="E1622" s="46" t="str">
        <f>VLOOKUP(Table1[[#This Row],[Point of Origin]],Table2[#All],3,0)</f>
        <v>Domestic</v>
      </c>
      <c r="F1622" s="47" t="s">
        <v>135</v>
      </c>
      <c r="G1622" s="58" t="s">
        <v>136</v>
      </c>
      <c r="H1622" s="74">
        <f>30</f>
        <v>30</v>
      </c>
      <c r="I1622" s="74">
        <f>Table1[[#This Row],[Total Weight Imported (lbs)]]*0.453592</f>
        <v>13.607759999999999</v>
      </c>
      <c r="J1622" s="75">
        <f>808.5</f>
        <v>808.5</v>
      </c>
      <c r="K1622" s="41"/>
    </row>
    <row r="1623" spans="1:11" ht="15.75" customHeight="1">
      <c r="A1623" s="46" t="s">
        <v>342</v>
      </c>
      <c r="B1623" s="46" t="s">
        <v>14</v>
      </c>
      <c r="C1623" s="46" t="s">
        <v>14</v>
      </c>
      <c r="D1623" s="46" t="str">
        <f>VLOOKUP(Table1[[#This Row],[Point of Origin]],Table2[#All],2,0)</f>
        <v>USA</v>
      </c>
      <c r="E1623" s="46" t="str">
        <f>VLOOKUP(Table1[[#This Row],[Point of Origin]],Table2[#All],3,0)</f>
        <v>Domestic</v>
      </c>
      <c r="F1623" s="46" t="s">
        <v>128</v>
      </c>
      <c r="G1623" s="58" t="s">
        <v>129</v>
      </c>
      <c r="H1623" s="74">
        <f>35</f>
        <v>35</v>
      </c>
      <c r="I1623" s="74">
        <f>Table1[[#This Row],[Total Weight Imported (lbs)]]*0.453592</f>
        <v>15.875719999999999</v>
      </c>
      <c r="J1623" s="75">
        <f>1706.25</f>
        <v>1706.25</v>
      </c>
      <c r="K1623" s="41"/>
    </row>
    <row r="1624" spans="1:11" ht="15.75" customHeight="1">
      <c r="A1624" s="46" t="s">
        <v>342</v>
      </c>
      <c r="B1624" s="46" t="s">
        <v>290</v>
      </c>
      <c r="C1624" s="46" t="s">
        <v>290</v>
      </c>
      <c r="D1624" s="46" t="str">
        <f>VLOOKUP(Table1[[#This Row],[Point of Origin]],Table2[#All],2,0)</f>
        <v>Brazil</v>
      </c>
      <c r="E1624" s="46" t="str">
        <f>VLOOKUP(Table1[[#This Row],[Point of Origin]],Table2[#All],3,0)</f>
        <v>International</v>
      </c>
      <c r="F1624" s="47" t="s">
        <v>163</v>
      </c>
      <c r="G1624" s="58" t="s">
        <v>164</v>
      </c>
      <c r="H1624" s="74">
        <f>8</f>
        <v>8</v>
      </c>
      <c r="I1624" s="74">
        <f>Table1[[#This Row],[Total Weight Imported (lbs)]]*0.453592</f>
        <v>3.628736</v>
      </c>
      <c r="J1624" s="75">
        <f>266</f>
        <v>266</v>
      </c>
      <c r="K1624" s="41"/>
    </row>
    <row r="1625" spans="1:11" ht="15.75" customHeight="1">
      <c r="A1625" s="64" t="s">
        <v>345</v>
      </c>
      <c r="B1625" s="64" t="s">
        <v>14</v>
      </c>
      <c r="C1625" s="64" t="s">
        <v>14</v>
      </c>
      <c r="D1625" s="64" t="str">
        <f>VLOOKUP(Table1[[#This Row],[Point of Origin]],Table2[#All],2,0)</f>
        <v>USA</v>
      </c>
      <c r="E1625" s="64" t="str">
        <f>VLOOKUP(Table1[[#This Row],[Point of Origin]],Table2[#All],3,0)</f>
        <v>Domestic</v>
      </c>
      <c r="F1625" s="64" t="s">
        <v>121</v>
      </c>
      <c r="G1625" s="58" t="s">
        <v>122</v>
      </c>
      <c r="H1625" s="74">
        <f>5+43+6</f>
        <v>54</v>
      </c>
      <c r="I1625" s="74">
        <f>Table1[[#This Row],[Total Weight Imported (lbs)]]*0.453592</f>
        <v>24.493967999999999</v>
      </c>
      <c r="J1625" s="75">
        <f>176.25+1150.25+240.9</f>
        <v>1567.4</v>
      </c>
      <c r="K1625" s="1"/>
    </row>
    <row r="1626" spans="1:11" ht="15.75" customHeight="1">
      <c r="A1626" s="64" t="s">
        <v>345</v>
      </c>
      <c r="B1626" s="64" t="s">
        <v>14</v>
      </c>
      <c r="C1626" s="64" t="s">
        <v>14</v>
      </c>
      <c r="D1626" s="64" t="str">
        <f>VLOOKUP(Table1[[#This Row],[Point of Origin]],Table2[#All],2,0)</f>
        <v>USA</v>
      </c>
      <c r="E1626" s="64" t="str">
        <f>VLOOKUP(Table1[[#This Row],[Point of Origin]],Table2[#All],3,0)</f>
        <v>Domestic</v>
      </c>
      <c r="F1626" s="64" t="s">
        <v>82</v>
      </c>
      <c r="G1626" s="58" t="s">
        <v>20</v>
      </c>
      <c r="H1626" s="74">
        <f>9</f>
        <v>9</v>
      </c>
      <c r="I1626" s="74">
        <f>Table1[[#This Row],[Total Weight Imported (lbs)]]*0.453592</f>
        <v>4.0823280000000004</v>
      </c>
      <c r="J1626" s="75">
        <f>236.25</f>
        <v>236.25</v>
      </c>
      <c r="K1626" s="1"/>
    </row>
    <row r="1627" spans="1:11" ht="15.75" customHeight="1">
      <c r="A1627" s="64" t="s">
        <v>345</v>
      </c>
      <c r="B1627" s="64" t="s">
        <v>14</v>
      </c>
      <c r="C1627" s="64" t="s">
        <v>14</v>
      </c>
      <c r="D1627" s="64" t="str">
        <f>VLOOKUP(Table1[[#This Row],[Point of Origin]],Table2[#All],2,0)</f>
        <v>USA</v>
      </c>
      <c r="E1627" s="64" t="str">
        <f>VLOOKUP(Table1[[#This Row],[Point of Origin]],Table2[#All],3,0)</f>
        <v>Domestic</v>
      </c>
      <c r="F1627" s="65" t="s">
        <v>139</v>
      </c>
      <c r="G1627" s="58" t="s">
        <v>140</v>
      </c>
      <c r="H1627" s="74">
        <f>46</f>
        <v>46</v>
      </c>
      <c r="I1627" s="74">
        <f>Table1[[#This Row],[Total Weight Imported (lbs)]]*0.453592</f>
        <v>20.865231999999999</v>
      </c>
      <c r="J1627" s="75">
        <f>841.8</f>
        <v>841.8</v>
      </c>
      <c r="K1627" s="41"/>
    </row>
    <row r="1628" spans="1:11" ht="15.75" customHeight="1">
      <c r="A1628" s="64" t="s">
        <v>345</v>
      </c>
      <c r="B1628" s="64" t="s">
        <v>14</v>
      </c>
      <c r="C1628" s="64" t="s">
        <v>14</v>
      </c>
      <c r="D1628" s="64" t="str">
        <f>VLOOKUP(Table1[[#This Row],[Point of Origin]],Table2[#All],2,0)</f>
        <v>USA</v>
      </c>
      <c r="E1628" s="64" t="str">
        <f>VLOOKUP(Table1[[#This Row],[Point of Origin]],Table2[#All],3,0)</f>
        <v>Domestic</v>
      </c>
      <c r="F1628" s="64" t="s">
        <v>154</v>
      </c>
      <c r="G1628" s="58" t="s">
        <v>155</v>
      </c>
      <c r="H1628" s="74">
        <f>5</f>
        <v>5</v>
      </c>
      <c r="I1628" s="74">
        <f>Table1[[#This Row],[Total Weight Imported (lbs)]]*0.453592</f>
        <v>2.26796</v>
      </c>
      <c r="J1628" s="75">
        <f>194.5</f>
        <v>194.5</v>
      </c>
      <c r="K1628" s="1"/>
    </row>
    <row r="1629" spans="1:11" ht="15.75" customHeight="1">
      <c r="A1629" s="64" t="s">
        <v>345</v>
      </c>
      <c r="B1629" s="64" t="s">
        <v>14</v>
      </c>
      <c r="C1629" s="64" t="s">
        <v>14</v>
      </c>
      <c r="D1629" s="64" t="str">
        <f>VLOOKUP(Table1[[#This Row],[Point of Origin]],Table2[#All],2,0)</f>
        <v>USA</v>
      </c>
      <c r="E1629" s="64" t="str">
        <f>VLOOKUP(Table1[[#This Row],[Point of Origin]],Table2[#All],3,0)</f>
        <v>Domestic</v>
      </c>
      <c r="F1629" s="65" t="s">
        <v>96</v>
      </c>
      <c r="G1629" s="58" t="s">
        <v>97</v>
      </c>
      <c r="H1629" s="74">
        <f>1</f>
        <v>1</v>
      </c>
      <c r="I1629" s="74">
        <f>Table1[[#This Row],[Total Weight Imported (lbs)]]*0.453592</f>
        <v>0.453592</v>
      </c>
      <c r="J1629" s="75">
        <f>98.1</f>
        <v>98.1</v>
      </c>
      <c r="K1629" s="41"/>
    </row>
    <row r="1630" spans="1:11" ht="15.75" customHeight="1">
      <c r="A1630" s="64" t="s">
        <v>345</v>
      </c>
      <c r="B1630" s="64" t="s">
        <v>14</v>
      </c>
      <c r="C1630" s="64" t="s">
        <v>14</v>
      </c>
      <c r="D1630" s="64" t="str">
        <f>VLOOKUP(Table1[[#This Row],[Point of Origin]],Table2[#All],2,0)</f>
        <v>USA</v>
      </c>
      <c r="E1630" s="64" t="str">
        <f>VLOOKUP(Table1[[#This Row],[Point of Origin]],Table2[#All],3,0)</f>
        <v>Domestic</v>
      </c>
      <c r="F1630" s="64" t="s">
        <v>43</v>
      </c>
      <c r="G1630" s="58" t="s">
        <v>44</v>
      </c>
      <c r="H1630" s="74">
        <f>39</f>
        <v>39</v>
      </c>
      <c r="I1630" s="74">
        <f>Table1[[#This Row],[Total Weight Imported (lbs)]]*0.453592</f>
        <v>17.690087999999999</v>
      </c>
      <c r="J1630" s="75">
        <f>1737.45</f>
        <v>1737.45</v>
      </c>
      <c r="K1630" s="41"/>
    </row>
    <row r="1631" spans="1:11" ht="15.75" customHeight="1">
      <c r="A1631" s="46" t="s">
        <v>346</v>
      </c>
      <c r="B1631" s="46" t="s">
        <v>14</v>
      </c>
      <c r="C1631" s="46" t="s">
        <v>14</v>
      </c>
      <c r="D1631" s="46" t="str">
        <f>VLOOKUP(Table1[[#This Row],[Point of Origin]],Table2[#All],2,0)</f>
        <v>USA</v>
      </c>
      <c r="E1631" s="46" t="str">
        <f>VLOOKUP(Table1[[#This Row],[Point of Origin]],Table2[#All],3,0)</f>
        <v>Domestic</v>
      </c>
      <c r="F1631" s="46" t="s">
        <v>40</v>
      </c>
      <c r="G1631" s="58" t="s">
        <v>41</v>
      </c>
      <c r="H1631" s="74">
        <f>10</f>
        <v>10</v>
      </c>
      <c r="I1631" s="74">
        <f>Table1[[#This Row],[Total Weight Imported (lbs)]]*0.453592</f>
        <v>4.53592</v>
      </c>
      <c r="J1631" s="75">
        <f>366</f>
        <v>366</v>
      </c>
      <c r="K1631" s="1"/>
    </row>
    <row r="1632" spans="1:11" ht="15.75" customHeight="1">
      <c r="A1632" s="46" t="s">
        <v>346</v>
      </c>
      <c r="B1632" s="46" t="s">
        <v>14</v>
      </c>
      <c r="C1632" s="46" t="s">
        <v>14</v>
      </c>
      <c r="D1632" s="46" t="str">
        <f>VLOOKUP(Table1[[#This Row],[Point of Origin]],Table2[#All],2,0)</f>
        <v>USA</v>
      </c>
      <c r="E1632" s="46" t="str">
        <f>VLOOKUP(Table1[[#This Row],[Point of Origin]],Table2[#All],3,0)</f>
        <v>Domestic</v>
      </c>
      <c r="F1632" s="47" t="s">
        <v>157</v>
      </c>
      <c r="G1632" s="58" t="s">
        <v>127</v>
      </c>
      <c r="H1632" s="74">
        <f>95</f>
        <v>95</v>
      </c>
      <c r="I1632" s="74">
        <f>Table1[[#This Row],[Total Weight Imported (lbs)]]*0.453592</f>
        <v>43.091239999999999</v>
      </c>
      <c r="J1632" s="75">
        <f>1800.25</f>
        <v>1800.25</v>
      </c>
      <c r="K1632" s="1"/>
    </row>
    <row r="1633" spans="1:11" ht="15.75" customHeight="1">
      <c r="A1633" s="46" t="s">
        <v>346</v>
      </c>
      <c r="B1633" s="46" t="s">
        <v>14</v>
      </c>
      <c r="C1633" s="46" t="s">
        <v>14</v>
      </c>
      <c r="D1633" s="46" t="str">
        <f>VLOOKUP(Table1[[#This Row],[Point of Origin]],Table2[#All],2,0)</f>
        <v>USA</v>
      </c>
      <c r="E1633" s="46" t="str">
        <f>VLOOKUP(Table1[[#This Row],[Point of Origin]],Table2[#All],3,0)</f>
        <v>Domestic</v>
      </c>
      <c r="F1633" s="47" t="s">
        <v>163</v>
      </c>
      <c r="G1633" s="58" t="s">
        <v>164</v>
      </c>
      <c r="H1633" s="74">
        <f>1</f>
        <v>1</v>
      </c>
      <c r="I1633" s="74">
        <f>Table1[[#This Row],[Total Weight Imported (lbs)]]*0.453592</f>
        <v>0.453592</v>
      </c>
      <c r="J1633" s="75">
        <f>88.25</f>
        <v>88.25</v>
      </c>
      <c r="K1633" s="41"/>
    </row>
    <row r="1634" spans="1:11" ht="15.75" customHeight="1">
      <c r="A1634" s="46" t="s">
        <v>346</v>
      </c>
      <c r="B1634" s="46" t="s">
        <v>14</v>
      </c>
      <c r="C1634" s="46" t="s">
        <v>14</v>
      </c>
      <c r="D1634" s="46" t="str">
        <f>VLOOKUP(Table1[[#This Row],[Point of Origin]],Table2[#All],2,0)</f>
        <v>USA</v>
      </c>
      <c r="E1634" s="46" t="str">
        <f>VLOOKUP(Table1[[#This Row],[Point of Origin]],Table2[#All],3,0)</f>
        <v>Domestic</v>
      </c>
      <c r="F1634" s="46" t="s">
        <v>143</v>
      </c>
      <c r="G1634" s="58" t="s">
        <v>144</v>
      </c>
      <c r="H1634" s="74">
        <f>9</f>
        <v>9</v>
      </c>
      <c r="I1634" s="74">
        <f>Table1[[#This Row],[Total Weight Imported (lbs)]]*0.453592</f>
        <v>4.0823280000000004</v>
      </c>
      <c r="J1634" s="75">
        <f>532.35</f>
        <v>532.35</v>
      </c>
      <c r="K1634" s="1"/>
    </row>
    <row r="1635" spans="1:11" ht="15.75" customHeight="1">
      <c r="A1635" s="46" t="s">
        <v>346</v>
      </c>
      <c r="B1635" s="46" t="s">
        <v>14</v>
      </c>
      <c r="C1635" s="46" t="s">
        <v>14</v>
      </c>
      <c r="D1635" s="46" t="str">
        <f>VLOOKUP(Table1[[#This Row],[Point of Origin]],Table2[#All],2,0)</f>
        <v>USA</v>
      </c>
      <c r="E1635" s="46" t="str">
        <f>VLOOKUP(Table1[[#This Row],[Point of Origin]],Table2[#All],3,0)</f>
        <v>Domestic</v>
      </c>
      <c r="F1635" s="47" t="s">
        <v>158</v>
      </c>
      <c r="G1635" s="58" t="s">
        <v>127</v>
      </c>
      <c r="H1635" s="74">
        <f>34</f>
        <v>34</v>
      </c>
      <c r="I1635" s="74">
        <f>Table1[[#This Row],[Total Weight Imported (lbs)]]*0.453592</f>
        <v>15.422128000000001</v>
      </c>
      <c r="J1635" s="75">
        <f>644.3</f>
        <v>644.29999999999995</v>
      </c>
      <c r="K1635" s="41"/>
    </row>
    <row r="1636" spans="1:11" ht="15.75" customHeight="1">
      <c r="A1636" s="46" t="s">
        <v>346</v>
      </c>
      <c r="B1636" s="46" t="s">
        <v>14</v>
      </c>
      <c r="C1636" s="46" t="s">
        <v>14</v>
      </c>
      <c r="D1636" s="46" t="str">
        <f>VLOOKUP(Table1[[#This Row],[Point of Origin]],Table2[#All],2,0)</f>
        <v>USA</v>
      </c>
      <c r="E1636" s="46" t="str">
        <f>VLOOKUP(Table1[[#This Row],[Point of Origin]],Table2[#All],3,0)</f>
        <v>Domestic</v>
      </c>
      <c r="F1636" s="47" t="s">
        <v>137</v>
      </c>
      <c r="G1636" s="58" t="s">
        <v>138</v>
      </c>
      <c r="H1636" s="74">
        <f>7</f>
        <v>7</v>
      </c>
      <c r="I1636" s="74">
        <f>Table1[[#This Row],[Total Weight Imported (lbs)]]*0.453592</f>
        <v>3.175144</v>
      </c>
      <c r="J1636" s="75">
        <f>290.5</f>
        <v>290.5</v>
      </c>
      <c r="K1636" s="1"/>
    </row>
    <row r="1637" spans="1:11" ht="15.75" customHeight="1">
      <c r="A1637" s="46" t="s">
        <v>346</v>
      </c>
      <c r="B1637" s="46" t="s">
        <v>14</v>
      </c>
      <c r="C1637" s="46" t="s">
        <v>14</v>
      </c>
      <c r="D1637" s="46" t="str">
        <f>VLOOKUP(Table1[[#This Row],[Point of Origin]],Table2[#All],2,0)</f>
        <v>USA</v>
      </c>
      <c r="E1637" s="46" t="str">
        <f>VLOOKUP(Table1[[#This Row],[Point of Origin]],Table2[#All],3,0)</f>
        <v>Domestic</v>
      </c>
      <c r="F1637" s="46" t="s">
        <v>76</v>
      </c>
      <c r="G1637" s="58" t="s">
        <v>77</v>
      </c>
      <c r="H1637" s="74">
        <f>5+1+16</f>
        <v>22</v>
      </c>
      <c r="I1637" s="74">
        <f>Table1[[#This Row],[Total Weight Imported (lbs)]]*0.453592</f>
        <v>9.979023999999999</v>
      </c>
      <c r="J1637" s="75">
        <f>122+50+283.2</f>
        <v>455.2</v>
      </c>
      <c r="K1637" s="1"/>
    </row>
    <row r="1638" spans="1:11" ht="15.75" customHeight="1">
      <c r="A1638" s="46" t="s">
        <v>346</v>
      </c>
      <c r="B1638" s="46" t="s">
        <v>14</v>
      </c>
      <c r="C1638" s="46" t="s">
        <v>14</v>
      </c>
      <c r="D1638" s="46" t="str">
        <f>VLOOKUP(Table1[[#This Row],[Point of Origin]],Table2[#All],2,0)</f>
        <v>USA</v>
      </c>
      <c r="E1638" s="46" t="str">
        <f>VLOOKUP(Table1[[#This Row],[Point of Origin]],Table2[#All],3,0)</f>
        <v>Domestic</v>
      </c>
      <c r="F1638" s="46" t="s">
        <v>141</v>
      </c>
      <c r="G1638" s="58" t="s">
        <v>142</v>
      </c>
      <c r="H1638" s="74">
        <f>4+1+6+3</f>
        <v>14</v>
      </c>
      <c r="I1638" s="74">
        <f>Table1[[#This Row],[Total Weight Imported (lbs)]]*0.453592</f>
        <v>6.3502879999999999</v>
      </c>
      <c r="J1638" s="75">
        <f>109.8+34.8+87.9+49.5</f>
        <v>282</v>
      </c>
      <c r="K1638" s="1"/>
    </row>
    <row r="1639" spans="1:11" ht="15.75" customHeight="1">
      <c r="A1639" s="46" t="s">
        <v>346</v>
      </c>
      <c r="B1639" s="46" t="s">
        <v>14</v>
      </c>
      <c r="C1639" s="46" t="s">
        <v>14</v>
      </c>
      <c r="D1639" s="46" t="str">
        <f>VLOOKUP(Table1[[#This Row],[Point of Origin]],Table2[#All],2,0)</f>
        <v>USA</v>
      </c>
      <c r="E1639" s="46" t="str">
        <f>VLOOKUP(Table1[[#This Row],[Point of Origin]],Table2[#All],3,0)</f>
        <v>Domestic</v>
      </c>
      <c r="F1639" s="46" t="s">
        <v>161</v>
      </c>
      <c r="G1639" s="58" t="s">
        <v>162</v>
      </c>
      <c r="H1639" s="74">
        <f>63</f>
        <v>63</v>
      </c>
      <c r="I1639" s="74">
        <f>Table1[[#This Row],[Total Weight Imported (lbs)]]*0.453592</f>
        <v>28.576295999999999</v>
      </c>
      <c r="J1639" s="75">
        <f>1537.2</f>
        <v>1537.2</v>
      </c>
      <c r="K1639" s="1"/>
    </row>
    <row r="1640" spans="1:11" ht="15.75" customHeight="1">
      <c r="A1640" s="64" t="s">
        <v>347</v>
      </c>
      <c r="B1640" s="64" t="s">
        <v>14</v>
      </c>
      <c r="C1640" s="64" t="s">
        <v>14</v>
      </c>
      <c r="D1640" s="64" t="str">
        <f>VLOOKUP(Table1[[#This Row],[Point of Origin]],Table2[#All],2,0)</f>
        <v>USA</v>
      </c>
      <c r="E1640" s="64" t="str">
        <f>VLOOKUP(Table1[[#This Row],[Point of Origin]],Table2[#All],3,0)</f>
        <v>Domestic</v>
      </c>
      <c r="F1640" s="64" t="s">
        <v>40</v>
      </c>
      <c r="G1640" s="58" t="s">
        <v>41</v>
      </c>
      <c r="H1640" s="74">
        <f>14</f>
        <v>14</v>
      </c>
      <c r="I1640" s="74">
        <f>Table1[[#This Row],[Total Weight Imported (lbs)]]*0.453592</f>
        <v>6.3502879999999999</v>
      </c>
      <c r="J1640" s="75">
        <f>512.4</f>
        <v>512.4</v>
      </c>
      <c r="K1640" s="1"/>
    </row>
    <row r="1641" spans="1:11" ht="15.75" customHeight="1">
      <c r="A1641" s="64" t="s">
        <v>347</v>
      </c>
      <c r="B1641" s="64" t="s">
        <v>14</v>
      </c>
      <c r="C1641" s="64" t="s">
        <v>14</v>
      </c>
      <c r="D1641" s="64" t="str">
        <f>VLOOKUP(Table1[[#This Row],[Point of Origin]],Table2[#All],2,0)</f>
        <v>USA</v>
      </c>
      <c r="E1641" s="64" t="str">
        <f>VLOOKUP(Table1[[#This Row],[Point of Origin]],Table2[#All],3,0)</f>
        <v>Domestic</v>
      </c>
      <c r="F1641" s="65" t="s">
        <v>157</v>
      </c>
      <c r="G1641" s="58" t="s">
        <v>127</v>
      </c>
      <c r="H1641" s="74">
        <f>127</f>
        <v>127</v>
      </c>
      <c r="I1641" s="74">
        <f>Table1[[#This Row],[Total Weight Imported (lbs)]]*0.453592</f>
        <v>57.606183999999999</v>
      </c>
      <c r="J1641" s="75">
        <f>2406.65</f>
        <v>2406.65</v>
      </c>
      <c r="K1641" s="1"/>
    </row>
    <row r="1642" spans="1:11" ht="15.75" customHeight="1">
      <c r="A1642" s="64" t="s">
        <v>347</v>
      </c>
      <c r="B1642" s="64" t="s">
        <v>14</v>
      </c>
      <c r="C1642" s="64" t="s">
        <v>14</v>
      </c>
      <c r="D1642" s="64" t="str">
        <f>VLOOKUP(Table1[[#This Row],[Point of Origin]],Table2[#All],2,0)</f>
        <v>USA</v>
      </c>
      <c r="E1642" s="64" t="str">
        <f>VLOOKUP(Table1[[#This Row],[Point of Origin]],Table2[#All],3,0)</f>
        <v>Domestic</v>
      </c>
      <c r="F1642" s="65" t="s">
        <v>163</v>
      </c>
      <c r="G1642" s="58" t="s">
        <v>164</v>
      </c>
      <c r="H1642" s="74">
        <f>2</f>
        <v>2</v>
      </c>
      <c r="I1642" s="74">
        <f>Table1[[#This Row],[Total Weight Imported (lbs)]]*0.453592</f>
        <v>0.90718399999999999</v>
      </c>
      <c r="J1642" s="75">
        <f>176.5</f>
        <v>176.5</v>
      </c>
      <c r="K1642" s="41"/>
    </row>
    <row r="1643" spans="1:11" ht="15.75" customHeight="1">
      <c r="A1643" s="64" t="s">
        <v>347</v>
      </c>
      <c r="B1643" s="64" t="s">
        <v>14</v>
      </c>
      <c r="C1643" s="64" t="s">
        <v>14</v>
      </c>
      <c r="D1643" s="64" t="str">
        <f>VLOOKUP(Table1[[#This Row],[Point of Origin]],Table2[#All],2,0)</f>
        <v>USA</v>
      </c>
      <c r="E1643" s="64" t="str">
        <f>VLOOKUP(Table1[[#This Row],[Point of Origin]],Table2[#All],3,0)</f>
        <v>Domestic</v>
      </c>
      <c r="F1643" s="64" t="s">
        <v>143</v>
      </c>
      <c r="G1643" s="58" t="s">
        <v>144</v>
      </c>
      <c r="H1643" s="74">
        <f>9</f>
        <v>9</v>
      </c>
      <c r="I1643" s="74">
        <f>Table1[[#This Row],[Total Weight Imported (lbs)]]*0.453592</f>
        <v>4.0823280000000004</v>
      </c>
      <c r="J1643" s="75">
        <f>532.35</f>
        <v>532.35</v>
      </c>
      <c r="K1643" s="1"/>
    </row>
    <row r="1644" spans="1:11" ht="15.75" customHeight="1">
      <c r="A1644" s="64" t="s">
        <v>347</v>
      </c>
      <c r="B1644" s="64" t="s">
        <v>14</v>
      </c>
      <c r="C1644" s="64" t="s">
        <v>14</v>
      </c>
      <c r="D1644" s="64" t="str">
        <f>VLOOKUP(Table1[[#This Row],[Point of Origin]],Table2[#All],2,0)</f>
        <v>USA</v>
      </c>
      <c r="E1644" s="64" t="str">
        <f>VLOOKUP(Table1[[#This Row],[Point of Origin]],Table2[#All],3,0)</f>
        <v>Domestic</v>
      </c>
      <c r="F1644" s="64" t="s">
        <v>158</v>
      </c>
      <c r="G1644" s="58" t="s">
        <v>127</v>
      </c>
      <c r="H1644" s="74">
        <f>120</f>
        <v>120</v>
      </c>
      <c r="I1644" s="74">
        <f>Table1[[#This Row],[Total Weight Imported (lbs)]]*0.453592</f>
        <v>54.431039999999996</v>
      </c>
      <c r="J1644" s="75">
        <f>2274</f>
        <v>2274</v>
      </c>
      <c r="K1644" s="1"/>
    </row>
    <row r="1645" spans="1:11" ht="15.75" customHeight="1">
      <c r="A1645" s="64" t="s">
        <v>347</v>
      </c>
      <c r="B1645" s="64" t="s">
        <v>14</v>
      </c>
      <c r="C1645" s="64" t="s">
        <v>14</v>
      </c>
      <c r="D1645" s="64" t="str">
        <f>VLOOKUP(Table1[[#This Row],[Point of Origin]],Table2[#All],2,0)</f>
        <v>USA</v>
      </c>
      <c r="E1645" s="64" t="str">
        <f>VLOOKUP(Table1[[#This Row],[Point of Origin]],Table2[#All],3,0)</f>
        <v>Domestic</v>
      </c>
      <c r="F1645" s="65" t="s">
        <v>137</v>
      </c>
      <c r="G1645" s="58" t="s">
        <v>138</v>
      </c>
      <c r="H1645" s="74">
        <f>9</f>
        <v>9</v>
      </c>
      <c r="I1645" s="74">
        <f>Table1[[#This Row],[Total Weight Imported (lbs)]]*0.453592</f>
        <v>4.0823280000000004</v>
      </c>
      <c r="J1645" s="75">
        <f>373.5</f>
        <v>373.5</v>
      </c>
      <c r="K1645" s="1"/>
    </row>
    <row r="1646" spans="1:11" ht="15.75" customHeight="1">
      <c r="A1646" s="64" t="s">
        <v>347</v>
      </c>
      <c r="B1646" s="64" t="s">
        <v>14</v>
      </c>
      <c r="C1646" s="64" t="s">
        <v>14</v>
      </c>
      <c r="D1646" s="64" t="str">
        <f>VLOOKUP(Table1[[#This Row],[Point of Origin]],Table2[#All],2,0)</f>
        <v>USA</v>
      </c>
      <c r="E1646" s="64" t="str">
        <f>VLOOKUP(Table1[[#This Row],[Point of Origin]],Table2[#All],3,0)</f>
        <v>Domestic</v>
      </c>
      <c r="F1646" s="64" t="s">
        <v>76</v>
      </c>
      <c r="G1646" s="58" t="s">
        <v>77</v>
      </c>
      <c r="H1646" s="74">
        <f>15+12+18</f>
        <v>45</v>
      </c>
      <c r="I1646" s="74">
        <f>Table1[[#This Row],[Total Weight Imported (lbs)]]*0.453592</f>
        <v>20.411639999999998</v>
      </c>
      <c r="J1646" s="75">
        <f>366+600+318.6</f>
        <v>1284.5999999999999</v>
      </c>
      <c r="K1646" s="1"/>
    </row>
    <row r="1647" spans="1:11" ht="15.75" customHeight="1">
      <c r="A1647" s="64" t="s">
        <v>347</v>
      </c>
      <c r="B1647" s="64" t="s">
        <v>14</v>
      </c>
      <c r="C1647" s="64" t="s">
        <v>14</v>
      </c>
      <c r="D1647" s="64" t="str">
        <f>VLOOKUP(Table1[[#This Row],[Point of Origin]],Table2[#All],2,0)</f>
        <v>USA</v>
      </c>
      <c r="E1647" s="64" t="str">
        <f>VLOOKUP(Table1[[#This Row],[Point of Origin]],Table2[#All],3,0)</f>
        <v>Domestic</v>
      </c>
      <c r="F1647" s="64" t="s">
        <v>141</v>
      </c>
      <c r="G1647" s="58" t="s">
        <v>142</v>
      </c>
      <c r="H1647" s="74">
        <f>8+21+13</f>
        <v>42</v>
      </c>
      <c r="I1647" s="74">
        <f>Table1[[#This Row],[Total Weight Imported (lbs)]]*0.453592</f>
        <v>19.050864000000001</v>
      </c>
      <c r="J1647" s="75">
        <f>219.6+307.65+214.5</f>
        <v>741.75</v>
      </c>
      <c r="K1647" s="1"/>
    </row>
    <row r="1648" spans="1:11" ht="15.75" customHeight="1">
      <c r="A1648" s="64" t="s">
        <v>347</v>
      </c>
      <c r="B1648" s="64" t="s">
        <v>14</v>
      </c>
      <c r="C1648" s="64" t="s">
        <v>14</v>
      </c>
      <c r="D1648" s="64" t="str">
        <f>VLOOKUP(Table1[[#This Row],[Point of Origin]],Table2[#All],2,0)</f>
        <v>USA</v>
      </c>
      <c r="E1648" s="64" t="str">
        <f>VLOOKUP(Table1[[#This Row],[Point of Origin]],Table2[#All],3,0)</f>
        <v>Domestic</v>
      </c>
      <c r="F1648" s="64" t="s">
        <v>128</v>
      </c>
      <c r="G1648" s="58" t="s">
        <v>129</v>
      </c>
      <c r="H1648" s="74">
        <f>2</f>
        <v>2</v>
      </c>
      <c r="I1648" s="74">
        <f>Table1[[#This Row],[Total Weight Imported (lbs)]]*0.453592</f>
        <v>0.90718399999999999</v>
      </c>
      <c r="J1648" s="75">
        <f>69.6</f>
        <v>69.599999999999994</v>
      </c>
      <c r="K1648" s="41"/>
    </row>
    <row r="1649" spans="1:11" ht="15.75" customHeight="1">
      <c r="A1649" s="64" t="s">
        <v>347</v>
      </c>
      <c r="B1649" s="64" t="s">
        <v>14</v>
      </c>
      <c r="C1649" s="64" t="s">
        <v>14</v>
      </c>
      <c r="D1649" s="64" t="str">
        <f>VLOOKUP(Table1[[#This Row],[Point of Origin]],Table2[#All],2,0)</f>
        <v>USA</v>
      </c>
      <c r="E1649" s="64" t="str">
        <f>VLOOKUP(Table1[[#This Row],[Point of Origin]],Table2[#All],3,0)</f>
        <v>Domestic</v>
      </c>
      <c r="F1649" s="64" t="s">
        <v>161</v>
      </c>
      <c r="G1649" s="58" t="s">
        <v>162</v>
      </c>
      <c r="H1649" s="74">
        <f>49</f>
        <v>49</v>
      </c>
      <c r="I1649" s="74">
        <f>Table1[[#This Row],[Total Weight Imported (lbs)]]*0.453592</f>
        <v>22.226008</v>
      </c>
      <c r="J1649" s="75">
        <f>1195.6</f>
        <v>1195.5999999999999</v>
      </c>
      <c r="K1649" s="1"/>
    </row>
    <row r="1650" spans="1:11" ht="15.75" customHeight="1">
      <c r="A1650" s="46" t="s">
        <v>187</v>
      </c>
      <c r="B1650" s="46" t="s">
        <v>14</v>
      </c>
      <c r="C1650" s="46" t="s">
        <v>14</v>
      </c>
      <c r="D1650" s="46" t="str">
        <f>VLOOKUP(Table1[[#This Row],[Point of Origin]],Table2[#All],2,0)</f>
        <v>USA</v>
      </c>
      <c r="E1650" s="46" t="str">
        <f>VLOOKUP(Table1[[#This Row],[Point of Origin]],Table2[#All],3,0)</f>
        <v>Domestic</v>
      </c>
      <c r="F1650" s="46" t="s">
        <v>121</v>
      </c>
      <c r="G1650" s="58" t="s">
        <v>122</v>
      </c>
      <c r="H1650" s="74">
        <f>4+45+1</f>
        <v>50</v>
      </c>
      <c r="I1650" s="74">
        <f>Table1[[#This Row],[Total Weight Imported (lbs)]]*0.453592</f>
        <v>22.679600000000001</v>
      </c>
      <c r="J1650" s="75">
        <f>141+1203.75+40.15</f>
        <v>1384.9</v>
      </c>
      <c r="K1650" s="1"/>
    </row>
    <row r="1651" spans="1:11" ht="15.75" customHeight="1">
      <c r="A1651" s="46" t="s">
        <v>187</v>
      </c>
      <c r="B1651" s="46" t="s">
        <v>14</v>
      </c>
      <c r="C1651" s="46" t="s">
        <v>14</v>
      </c>
      <c r="D1651" s="46" t="str">
        <f>VLOOKUP(Table1[[#This Row],[Point of Origin]],Table2[#All],2,0)</f>
        <v>USA</v>
      </c>
      <c r="E1651" s="46" t="str">
        <f>VLOOKUP(Table1[[#This Row],[Point of Origin]],Table2[#All],3,0)</f>
        <v>Domestic</v>
      </c>
      <c r="F1651" s="46" t="s">
        <v>82</v>
      </c>
      <c r="G1651" s="58" t="s">
        <v>20</v>
      </c>
      <c r="H1651" s="74">
        <f>14+4</f>
        <v>18</v>
      </c>
      <c r="I1651" s="74">
        <f>Table1[[#This Row],[Total Weight Imported (lbs)]]*0.453592</f>
        <v>8.1646560000000008</v>
      </c>
      <c r="J1651" s="75">
        <f>367.5+112.2</f>
        <v>479.7</v>
      </c>
      <c r="K1651" s="1"/>
    </row>
    <row r="1652" spans="1:11" ht="15.75" customHeight="1">
      <c r="A1652" s="46" t="s">
        <v>187</v>
      </c>
      <c r="B1652" s="46" t="s">
        <v>14</v>
      </c>
      <c r="C1652" s="46" t="s">
        <v>14</v>
      </c>
      <c r="D1652" s="46" t="str">
        <f>VLOOKUP(Table1[[#This Row],[Point of Origin]],Table2[#All],2,0)</f>
        <v>USA</v>
      </c>
      <c r="E1652" s="46" t="str">
        <f>VLOOKUP(Table1[[#This Row],[Point of Origin]],Table2[#All],3,0)</f>
        <v>Domestic</v>
      </c>
      <c r="F1652" s="47" t="s">
        <v>139</v>
      </c>
      <c r="G1652" s="58" t="s">
        <v>140</v>
      </c>
      <c r="H1652" s="74">
        <f>56</f>
        <v>56</v>
      </c>
      <c r="I1652" s="74">
        <f>Table1[[#This Row],[Total Weight Imported (lbs)]]*0.453592</f>
        <v>25.401152</v>
      </c>
      <c r="J1652" s="75">
        <f>1024.8</f>
        <v>1024.8</v>
      </c>
      <c r="K1652" s="41"/>
    </row>
    <row r="1653" spans="1:11" ht="15.75" customHeight="1">
      <c r="A1653" s="46" t="s">
        <v>187</v>
      </c>
      <c r="B1653" s="46" t="s">
        <v>14</v>
      </c>
      <c r="C1653" s="46" t="s">
        <v>14</v>
      </c>
      <c r="D1653" s="46" t="str">
        <f>VLOOKUP(Table1[[#This Row],[Point of Origin]],Table2[#All],2,0)</f>
        <v>USA</v>
      </c>
      <c r="E1653" s="46" t="str">
        <f>VLOOKUP(Table1[[#This Row],[Point of Origin]],Table2[#All],3,0)</f>
        <v>Domestic</v>
      </c>
      <c r="F1653" s="46" t="s">
        <v>154</v>
      </c>
      <c r="G1653" s="58" t="s">
        <v>155</v>
      </c>
      <c r="H1653" s="74">
        <f>4</f>
        <v>4</v>
      </c>
      <c r="I1653" s="74">
        <f>Table1[[#This Row],[Total Weight Imported (lbs)]]*0.453592</f>
        <v>1.814368</v>
      </c>
      <c r="J1653" s="75">
        <f>155.6</f>
        <v>155.6</v>
      </c>
      <c r="K1653" s="1"/>
    </row>
    <row r="1654" spans="1:11" ht="15.75" customHeight="1">
      <c r="A1654" s="46" t="s">
        <v>187</v>
      </c>
      <c r="B1654" s="46" t="s">
        <v>14</v>
      </c>
      <c r="C1654" s="46" t="s">
        <v>14</v>
      </c>
      <c r="D1654" s="46" t="str">
        <f>VLOOKUP(Table1[[#This Row],[Point of Origin]],Table2[#All],2,0)</f>
        <v>USA</v>
      </c>
      <c r="E1654" s="46" t="str">
        <f>VLOOKUP(Table1[[#This Row],[Point of Origin]],Table2[#All],3,0)</f>
        <v>Domestic</v>
      </c>
      <c r="F1654" s="47" t="s">
        <v>96</v>
      </c>
      <c r="G1654" s="58" t="s">
        <v>97</v>
      </c>
      <c r="H1654" s="74">
        <f>2</f>
        <v>2</v>
      </c>
      <c r="I1654" s="74">
        <f>Table1[[#This Row],[Total Weight Imported (lbs)]]*0.453592</f>
        <v>0.90718399999999999</v>
      </c>
      <c r="J1654" s="75">
        <f>196.2</f>
        <v>196.2</v>
      </c>
      <c r="K1654" s="41"/>
    </row>
    <row r="1655" spans="1:11" ht="15.75" customHeight="1">
      <c r="A1655" s="46" t="s">
        <v>187</v>
      </c>
      <c r="B1655" s="46" t="s">
        <v>14</v>
      </c>
      <c r="C1655" s="46" t="s">
        <v>14</v>
      </c>
      <c r="D1655" s="46" t="str">
        <f>VLOOKUP(Table1[[#This Row],[Point of Origin]],Table2[#All],2,0)</f>
        <v>USA</v>
      </c>
      <c r="E1655" s="46" t="str">
        <f>VLOOKUP(Table1[[#This Row],[Point of Origin]],Table2[#All],3,0)</f>
        <v>Domestic</v>
      </c>
      <c r="F1655" s="46" t="s">
        <v>43</v>
      </c>
      <c r="G1655" s="58" t="s">
        <v>44</v>
      </c>
      <c r="H1655" s="74">
        <f>34</f>
        <v>34</v>
      </c>
      <c r="I1655" s="74">
        <f>Table1[[#This Row],[Total Weight Imported (lbs)]]*0.453592</f>
        <v>15.422128000000001</v>
      </c>
      <c r="J1655" s="75">
        <f>1514.7</f>
        <v>1514.7</v>
      </c>
      <c r="K1655" s="41"/>
    </row>
    <row r="1656" spans="1:11" ht="15.75" customHeight="1">
      <c r="A1656" s="64" t="s">
        <v>181</v>
      </c>
      <c r="B1656" s="64" t="s">
        <v>14</v>
      </c>
      <c r="C1656" s="64" t="s">
        <v>14</v>
      </c>
      <c r="D1656" s="64" t="str">
        <f>VLOOKUP(Table1[[#This Row],[Point of Origin]],Table2[#All],2,0)</f>
        <v>USA</v>
      </c>
      <c r="E1656" s="64" t="str">
        <f>VLOOKUP(Table1[[#This Row],[Point of Origin]],Table2[#All],3,0)</f>
        <v>Domestic</v>
      </c>
      <c r="F1656" s="64" t="s">
        <v>121</v>
      </c>
      <c r="G1656" s="58" t="s">
        <v>122</v>
      </c>
      <c r="H1656" s="74">
        <f>2+28+3</f>
        <v>33</v>
      </c>
      <c r="I1656" s="74">
        <f>Table1[[#This Row],[Total Weight Imported (lbs)]]*0.453592</f>
        <v>14.968536</v>
      </c>
      <c r="J1656" s="75">
        <f>70.5+749+120.45</f>
        <v>939.95</v>
      </c>
      <c r="K1656" s="1"/>
    </row>
    <row r="1657" spans="1:11" ht="15.75" customHeight="1">
      <c r="A1657" s="64" t="s">
        <v>181</v>
      </c>
      <c r="B1657" s="64" t="s">
        <v>14</v>
      </c>
      <c r="C1657" s="64" t="s">
        <v>14</v>
      </c>
      <c r="D1657" s="64" t="str">
        <f>VLOOKUP(Table1[[#This Row],[Point of Origin]],Table2[#All],2,0)</f>
        <v>USA</v>
      </c>
      <c r="E1657" s="64" t="str">
        <f>VLOOKUP(Table1[[#This Row],[Point of Origin]],Table2[#All],3,0)</f>
        <v>Domestic</v>
      </c>
      <c r="F1657" s="64" t="s">
        <v>82</v>
      </c>
      <c r="G1657" s="58" t="s">
        <v>20</v>
      </c>
      <c r="H1657" s="74">
        <f>5+1+3</f>
        <v>9</v>
      </c>
      <c r="I1657" s="74">
        <f>Table1[[#This Row],[Total Weight Imported (lbs)]]*0.453592</f>
        <v>4.0823280000000004</v>
      </c>
      <c r="J1657" s="75">
        <f>131.25+48.8+84.15</f>
        <v>264.20000000000005</v>
      </c>
      <c r="K1657" s="1"/>
    </row>
    <row r="1658" spans="1:11" ht="15.75" customHeight="1">
      <c r="A1658" s="64" t="s">
        <v>181</v>
      </c>
      <c r="B1658" s="64" t="s">
        <v>14</v>
      </c>
      <c r="C1658" s="64" t="s">
        <v>14</v>
      </c>
      <c r="D1658" s="64" t="str">
        <f>VLOOKUP(Table1[[#This Row],[Point of Origin]],Table2[#All],2,0)</f>
        <v>USA</v>
      </c>
      <c r="E1658" s="64" t="str">
        <f>VLOOKUP(Table1[[#This Row],[Point of Origin]],Table2[#All],3,0)</f>
        <v>Domestic</v>
      </c>
      <c r="F1658" s="65" t="s">
        <v>139</v>
      </c>
      <c r="G1658" s="58" t="s">
        <v>140</v>
      </c>
      <c r="H1658" s="74">
        <f>37</f>
        <v>37</v>
      </c>
      <c r="I1658" s="74">
        <f>Table1[[#This Row],[Total Weight Imported (lbs)]]*0.453592</f>
        <v>16.782903999999998</v>
      </c>
      <c r="J1658" s="75">
        <f>677.1</f>
        <v>677.1</v>
      </c>
      <c r="K1658" s="41"/>
    </row>
    <row r="1659" spans="1:11" ht="15.75" customHeight="1">
      <c r="A1659" s="64" t="s">
        <v>181</v>
      </c>
      <c r="B1659" s="64" t="s">
        <v>14</v>
      </c>
      <c r="C1659" s="64" t="s">
        <v>14</v>
      </c>
      <c r="D1659" s="64" t="str">
        <f>VLOOKUP(Table1[[#This Row],[Point of Origin]],Table2[#All],2,0)</f>
        <v>USA</v>
      </c>
      <c r="E1659" s="64" t="str">
        <f>VLOOKUP(Table1[[#This Row],[Point of Origin]],Table2[#All],3,0)</f>
        <v>Domestic</v>
      </c>
      <c r="F1659" s="64" t="s">
        <v>154</v>
      </c>
      <c r="G1659" s="58" t="s">
        <v>155</v>
      </c>
      <c r="H1659" s="74">
        <f>6</f>
        <v>6</v>
      </c>
      <c r="I1659" s="74">
        <f>Table1[[#This Row],[Total Weight Imported (lbs)]]*0.453592</f>
        <v>2.721552</v>
      </c>
      <c r="J1659" s="75">
        <f>233.4</f>
        <v>233.4</v>
      </c>
      <c r="K1659" s="1"/>
    </row>
    <row r="1660" spans="1:11" ht="15.75" customHeight="1">
      <c r="A1660" s="64" t="s">
        <v>181</v>
      </c>
      <c r="B1660" s="64" t="s">
        <v>14</v>
      </c>
      <c r="C1660" s="64" t="s">
        <v>14</v>
      </c>
      <c r="D1660" s="64" t="str">
        <f>VLOOKUP(Table1[[#This Row],[Point of Origin]],Table2[#All],2,0)</f>
        <v>USA</v>
      </c>
      <c r="E1660" s="64" t="str">
        <f>VLOOKUP(Table1[[#This Row],[Point of Origin]],Table2[#All],3,0)</f>
        <v>Domestic</v>
      </c>
      <c r="F1660" s="65" t="s">
        <v>96</v>
      </c>
      <c r="G1660" s="58" t="s">
        <v>97</v>
      </c>
      <c r="H1660" s="74">
        <f>1</f>
        <v>1</v>
      </c>
      <c r="I1660" s="74">
        <f>Table1[[#This Row],[Total Weight Imported (lbs)]]*0.453592</f>
        <v>0.453592</v>
      </c>
      <c r="J1660" s="75">
        <f>98.1</f>
        <v>98.1</v>
      </c>
      <c r="K1660" s="41"/>
    </row>
    <row r="1661" spans="1:11" ht="15.75" customHeight="1">
      <c r="A1661" s="64" t="s">
        <v>181</v>
      </c>
      <c r="B1661" s="64" t="s">
        <v>14</v>
      </c>
      <c r="C1661" s="64" t="s">
        <v>14</v>
      </c>
      <c r="D1661" s="64" t="str">
        <f>VLOOKUP(Table1[[#This Row],[Point of Origin]],Table2[#All],2,0)</f>
        <v>USA</v>
      </c>
      <c r="E1661" s="64" t="str">
        <f>VLOOKUP(Table1[[#This Row],[Point of Origin]],Table2[#All],3,0)</f>
        <v>Domestic</v>
      </c>
      <c r="F1661" s="64" t="s">
        <v>43</v>
      </c>
      <c r="G1661" s="58" t="s">
        <v>44</v>
      </c>
      <c r="H1661" s="74">
        <f>26</f>
        <v>26</v>
      </c>
      <c r="I1661" s="74">
        <f>Table1[[#This Row],[Total Weight Imported (lbs)]]*0.453592</f>
        <v>11.793392000000001</v>
      </c>
      <c r="J1661" s="75">
        <f>1158.3</f>
        <v>1158.3</v>
      </c>
      <c r="K1661" s="41"/>
    </row>
    <row r="1662" spans="1:11" ht="15.75" customHeight="1">
      <c r="A1662" s="64" t="s">
        <v>181</v>
      </c>
      <c r="B1662" s="64" t="s">
        <v>14</v>
      </c>
      <c r="C1662" s="64" t="s">
        <v>14</v>
      </c>
      <c r="D1662" s="64" t="str">
        <f>VLOOKUP(Table1[[#This Row],[Point of Origin]],Table2[#All],2,0)</f>
        <v>USA</v>
      </c>
      <c r="E1662" s="64" t="str">
        <f>VLOOKUP(Table1[[#This Row],[Point of Origin]],Table2[#All],3,0)</f>
        <v>Domestic</v>
      </c>
      <c r="F1662" s="64" t="s">
        <v>40</v>
      </c>
      <c r="G1662" s="58" t="s">
        <v>41</v>
      </c>
      <c r="H1662" s="74">
        <f>10</f>
        <v>10</v>
      </c>
      <c r="I1662" s="74">
        <f>Table1[[#This Row],[Total Weight Imported (lbs)]]*0.453592</f>
        <v>4.53592</v>
      </c>
      <c r="J1662" s="75">
        <f>366</f>
        <v>366</v>
      </c>
      <c r="K1662" s="1"/>
    </row>
    <row r="1663" spans="1:11" ht="15.75" customHeight="1">
      <c r="A1663" s="64" t="s">
        <v>181</v>
      </c>
      <c r="B1663" s="64" t="s">
        <v>14</v>
      </c>
      <c r="C1663" s="64" t="s">
        <v>14</v>
      </c>
      <c r="D1663" s="64" t="str">
        <f>VLOOKUP(Table1[[#This Row],[Point of Origin]],Table2[#All],2,0)</f>
        <v>USA</v>
      </c>
      <c r="E1663" s="64" t="str">
        <f>VLOOKUP(Table1[[#This Row],[Point of Origin]],Table2[#All],3,0)</f>
        <v>Domestic</v>
      </c>
      <c r="F1663" s="65" t="s">
        <v>157</v>
      </c>
      <c r="G1663" s="58" t="s">
        <v>127</v>
      </c>
      <c r="H1663" s="74">
        <f>117</f>
        <v>117</v>
      </c>
      <c r="I1663" s="74">
        <f>Table1[[#This Row],[Total Weight Imported (lbs)]]*0.453592</f>
        <v>53.070264000000002</v>
      </c>
      <c r="J1663" s="75">
        <f>2217.15</f>
        <v>2217.15</v>
      </c>
      <c r="K1663" s="1"/>
    </row>
    <row r="1664" spans="1:11" ht="15.75" customHeight="1">
      <c r="A1664" s="64" t="s">
        <v>181</v>
      </c>
      <c r="B1664" s="64" t="s">
        <v>14</v>
      </c>
      <c r="C1664" s="64" t="s">
        <v>14</v>
      </c>
      <c r="D1664" s="64" t="str">
        <f>VLOOKUP(Table1[[#This Row],[Point of Origin]],Table2[#All],2,0)</f>
        <v>USA</v>
      </c>
      <c r="E1664" s="64" t="str">
        <f>VLOOKUP(Table1[[#This Row],[Point of Origin]],Table2[#All],3,0)</f>
        <v>Domestic</v>
      </c>
      <c r="F1664" s="65" t="s">
        <v>163</v>
      </c>
      <c r="G1664" s="58" t="s">
        <v>164</v>
      </c>
      <c r="H1664" s="74">
        <f>1</f>
        <v>1</v>
      </c>
      <c r="I1664" s="74">
        <f>Table1[[#This Row],[Total Weight Imported (lbs)]]*0.453592</f>
        <v>0.453592</v>
      </c>
      <c r="J1664" s="75">
        <f>88.25</f>
        <v>88.25</v>
      </c>
      <c r="K1664" s="41"/>
    </row>
    <row r="1665" spans="1:11" ht="15.75" customHeight="1">
      <c r="A1665" s="64" t="s">
        <v>181</v>
      </c>
      <c r="B1665" s="64" t="s">
        <v>14</v>
      </c>
      <c r="C1665" s="64" t="s">
        <v>14</v>
      </c>
      <c r="D1665" s="64" t="str">
        <f>VLOOKUP(Table1[[#This Row],[Point of Origin]],Table2[#All],2,0)</f>
        <v>USA</v>
      </c>
      <c r="E1665" s="64" t="str">
        <f>VLOOKUP(Table1[[#This Row],[Point of Origin]],Table2[#All],3,0)</f>
        <v>Domestic</v>
      </c>
      <c r="F1665" s="64" t="s">
        <v>143</v>
      </c>
      <c r="G1665" s="58" t="s">
        <v>144</v>
      </c>
      <c r="H1665" s="74">
        <f>7</f>
        <v>7</v>
      </c>
      <c r="I1665" s="74">
        <f>Table1[[#This Row],[Total Weight Imported (lbs)]]*0.453592</f>
        <v>3.175144</v>
      </c>
      <c r="J1665" s="75">
        <f>414.05</f>
        <v>414.05</v>
      </c>
      <c r="K1665" s="1"/>
    </row>
    <row r="1666" spans="1:11" ht="15.75" customHeight="1">
      <c r="A1666" s="64" t="s">
        <v>181</v>
      </c>
      <c r="B1666" s="64" t="s">
        <v>14</v>
      </c>
      <c r="C1666" s="64" t="s">
        <v>14</v>
      </c>
      <c r="D1666" s="64" t="str">
        <f>VLOOKUP(Table1[[#This Row],[Point of Origin]],Table2[#All],2,0)</f>
        <v>USA</v>
      </c>
      <c r="E1666" s="64" t="str">
        <f>VLOOKUP(Table1[[#This Row],[Point of Origin]],Table2[#All],3,0)</f>
        <v>Domestic</v>
      </c>
      <c r="F1666" s="64" t="s">
        <v>158</v>
      </c>
      <c r="G1666" s="58" t="s">
        <v>127</v>
      </c>
      <c r="H1666" s="74">
        <f>85</f>
        <v>85</v>
      </c>
      <c r="I1666" s="74">
        <f>Table1[[#This Row],[Total Weight Imported (lbs)]]*0.453592</f>
        <v>38.555320000000002</v>
      </c>
      <c r="J1666" s="75">
        <f>1610.75</f>
        <v>1610.75</v>
      </c>
      <c r="K1666" s="1"/>
    </row>
    <row r="1667" spans="1:11" ht="15.75" customHeight="1">
      <c r="A1667" s="64" t="s">
        <v>181</v>
      </c>
      <c r="B1667" s="64" t="s">
        <v>14</v>
      </c>
      <c r="C1667" s="64" t="s">
        <v>14</v>
      </c>
      <c r="D1667" s="64" t="str">
        <f>VLOOKUP(Table1[[#This Row],[Point of Origin]],Table2[#All],2,0)</f>
        <v>USA</v>
      </c>
      <c r="E1667" s="64" t="str">
        <f>VLOOKUP(Table1[[#This Row],[Point of Origin]],Table2[#All],3,0)</f>
        <v>Domestic</v>
      </c>
      <c r="F1667" s="65" t="s">
        <v>137</v>
      </c>
      <c r="G1667" s="58" t="s">
        <v>138</v>
      </c>
      <c r="H1667" s="74">
        <f>7</f>
        <v>7</v>
      </c>
      <c r="I1667" s="74">
        <f>Table1[[#This Row],[Total Weight Imported (lbs)]]*0.453592</f>
        <v>3.175144</v>
      </c>
      <c r="J1667" s="75">
        <f>290.5</f>
        <v>290.5</v>
      </c>
      <c r="K1667" s="1"/>
    </row>
    <row r="1668" spans="1:11" ht="15.75" customHeight="1">
      <c r="A1668" s="64" t="s">
        <v>181</v>
      </c>
      <c r="B1668" s="64" t="s">
        <v>14</v>
      </c>
      <c r="C1668" s="64" t="s">
        <v>14</v>
      </c>
      <c r="D1668" s="64" t="str">
        <f>VLOOKUP(Table1[[#This Row],[Point of Origin]],Table2[#All],2,0)</f>
        <v>USA</v>
      </c>
      <c r="E1668" s="64" t="str">
        <f>VLOOKUP(Table1[[#This Row],[Point of Origin]],Table2[#All],3,0)</f>
        <v>Domestic</v>
      </c>
      <c r="F1668" s="64" t="s">
        <v>76</v>
      </c>
      <c r="G1668" s="58" t="s">
        <v>77</v>
      </c>
      <c r="H1668" s="74">
        <f>11+13</f>
        <v>24</v>
      </c>
      <c r="I1668" s="74">
        <f>Table1[[#This Row],[Total Weight Imported (lbs)]]*0.453592</f>
        <v>10.886208</v>
      </c>
      <c r="J1668" s="75">
        <f>268.4+230.1</f>
        <v>498.5</v>
      </c>
      <c r="K1668" s="1"/>
    </row>
    <row r="1669" spans="1:11" ht="15.75" customHeight="1">
      <c r="A1669" s="64" t="s">
        <v>181</v>
      </c>
      <c r="B1669" s="64" t="s">
        <v>14</v>
      </c>
      <c r="C1669" s="64" t="s">
        <v>14</v>
      </c>
      <c r="D1669" s="64" t="str">
        <f>VLOOKUP(Table1[[#This Row],[Point of Origin]],Table2[#All],2,0)</f>
        <v>USA</v>
      </c>
      <c r="E1669" s="64" t="str">
        <f>VLOOKUP(Table1[[#This Row],[Point of Origin]],Table2[#All],3,0)</f>
        <v>Domestic</v>
      </c>
      <c r="F1669" s="64" t="s">
        <v>141</v>
      </c>
      <c r="G1669" s="58" t="s">
        <v>142</v>
      </c>
      <c r="H1669" s="74">
        <f>5+10+6</f>
        <v>21</v>
      </c>
      <c r="I1669" s="74">
        <f>Table1[[#This Row],[Total Weight Imported (lbs)]]*0.453592</f>
        <v>9.5254320000000003</v>
      </c>
      <c r="J1669" s="75">
        <f>137.25+146.5+99</f>
        <v>382.75</v>
      </c>
      <c r="K1669" s="1"/>
    </row>
    <row r="1670" spans="1:11" ht="15.75" customHeight="1">
      <c r="A1670" s="64" t="s">
        <v>181</v>
      </c>
      <c r="B1670" s="64" t="s">
        <v>14</v>
      </c>
      <c r="C1670" s="64" t="s">
        <v>14</v>
      </c>
      <c r="D1670" s="64" t="str">
        <f>VLOOKUP(Table1[[#This Row],[Point of Origin]],Table2[#All],2,0)</f>
        <v>USA</v>
      </c>
      <c r="E1670" s="64" t="str">
        <f>VLOOKUP(Table1[[#This Row],[Point of Origin]],Table2[#All],3,0)</f>
        <v>Domestic</v>
      </c>
      <c r="F1670" s="64" t="s">
        <v>128</v>
      </c>
      <c r="G1670" s="58" t="s">
        <v>129</v>
      </c>
      <c r="H1670" s="74">
        <f>2</f>
        <v>2</v>
      </c>
      <c r="I1670" s="74">
        <f>Table1[[#This Row],[Total Weight Imported (lbs)]]*0.453592</f>
        <v>0.90718399999999999</v>
      </c>
      <c r="J1670" s="75">
        <f>69.6</f>
        <v>69.599999999999994</v>
      </c>
      <c r="K1670" s="41"/>
    </row>
    <row r="1671" spans="1:11" ht="15.75" customHeight="1">
      <c r="A1671" s="64" t="s">
        <v>181</v>
      </c>
      <c r="B1671" s="64" t="s">
        <v>14</v>
      </c>
      <c r="C1671" s="64" t="s">
        <v>14</v>
      </c>
      <c r="D1671" s="64" t="str">
        <f>VLOOKUP(Table1[[#This Row],[Point of Origin]],Table2[#All],2,0)</f>
        <v>USA</v>
      </c>
      <c r="E1671" s="64" t="str">
        <f>VLOOKUP(Table1[[#This Row],[Point of Origin]],Table2[#All],3,0)</f>
        <v>Domestic</v>
      </c>
      <c r="F1671" s="64" t="s">
        <v>161</v>
      </c>
      <c r="G1671" s="58" t="s">
        <v>162</v>
      </c>
      <c r="H1671" s="74">
        <f>40</f>
        <v>40</v>
      </c>
      <c r="I1671" s="74">
        <f>Table1[[#This Row],[Total Weight Imported (lbs)]]*0.453592</f>
        <v>18.14368</v>
      </c>
      <c r="J1671" s="75">
        <f>976</f>
        <v>976</v>
      </c>
      <c r="K1671" s="1"/>
    </row>
    <row r="1672" spans="1:11" ht="15.75" customHeight="1">
      <c r="A1672" s="46" t="s">
        <v>153</v>
      </c>
      <c r="B1672" s="46" t="s">
        <v>14</v>
      </c>
      <c r="C1672" s="46" t="s">
        <v>14</v>
      </c>
      <c r="D1672" s="46" t="str">
        <f>VLOOKUP(Table1[[#This Row],[Point of Origin]],Table2[#All],2,0)</f>
        <v>USA</v>
      </c>
      <c r="E1672" s="46" t="str">
        <f>VLOOKUP(Table1[[#This Row],[Point of Origin]],Table2[#All],3,0)</f>
        <v>Domestic</v>
      </c>
      <c r="F1672" s="46" t="s">
        <v>121</v>
      </c>
      <c r="G1672" s="58" t="s">
        <v>122</v>
      </c>
      <c r="H1672" s="74">
        <f>2+28+3</f>
        <v>33</v>
      </c>
      <c r="I1672" s="74">
        <f>Table1[[#This Row],[Total Weight Imported (lbs)]]*0.453592</f>
        <v>14.968536</v>
      </c>
      <c r="J1672" s="75">
        <f>70.5+749+120.45</f>
        <v>939.95</v>
      </c>
      <c r="K1672" s="1"/>
    </row>
    <row r="1673" spans="1:11" ht="15.75" customHeight="1">
      <c r="A1673" s="46" t="s">
        <v>153</v>
      </c>
      <c r="B1673" s="46" t="s">
        <v>14</v>
      </c>
      <c r="C1673" s="46" t="s">
        <v>14</v>
      </c>
      <c r="D1673" s="46" t="str">
        <f>VLOOKUP(Table1[[#This Row],[Point of Origin]],Table2[#All],2,0)</f>
        <v>USA</v>
      </c>
      <c r="E1673" s="46" t="str">
        <f>VLOOKUP(Table1[[#This Row],[Point of Origin]],Table2[#All],3,0)</f>
        <v>Domestic</v>
      </c>
      <c r="F1673" s="46" t="s">
        <v>82</v>
      </c>
      <c r="G1673" s="58" t="s">
        <v>20</v>
      </c>
      <c r="H1673" s="74">
        <f>5+1+3</f>
        <v>9</v>
      </c>
      <c r="I1673" s="74">
        <f>Table1[[#This Row],[Total Weight Imported (lbs)]]*0.453592</f>
        <v>4.0823280000000004</v>
      </c>
      <c r="J1673" s="75">
        <f>131.25+48.8+84.15</f>
        <v>264.20000000000005</v>
      </c>
      <c r="K1673" s="1"/>
    </row>
    <row r="1674" spans="1:11" ht="15.75" customHeight="1">
      <c r="A1674" s="46" t="s">
        <v>153</v>
      </c>
      <c r="B1674" s="46" t="s">
        <v>14</v>
      </c>
      <c r="C1674" s="46" t="s">
        <v>14</v>
      </c>
      <c r="D1674" s="46" t="str">
        <f>VLOOKUP(Table1[[#This Row],[Point of Origin]],Table2[#All],2,0)</f>
        <v>USA</v>
      </c>
      <c r="E1674" s="46" t="str">
        <f>VLOOKUP(Table1[[#This Row],[Point of Origin]],Table2[#All],3,0)</f>
        <v>Domestic</v>
      </c>
      <c r="F1674" s="47" t="s">
        <v>139</v>
      </c>
      <c r="G1674" s="58" t="s">
        <v>140</v>
      </c>
      <c r="H1674" s="74">
        <f>37</f>
        <v>37</v>
      </c>
      <c r="I1674" s="74">
        <f>Table1[[#This Row],[Total Weight Imported (lbs)]]*0.453592</f>
        <v>16.782903999999998</v>
      </c>
      <c r="J1674" s="75">
        <f>677.1</f>
        <v>677.1</v>
      </c>
      <c r="K1674" s="41"/>
    </row>
    <row r="1675" spans="1:11" ht="15.75" customHeight="1">
      <c r="A1675" s="46" t="s">
        <v>153</v>
      </c>
      <c r="B1675" s="46" t="s">
        <v>14</v>
      </c>
      <c r="C1675" s="46" t="s">
        <v>14</v>
      </c>
      <c r="D1675" s="46" t="str">
        <f>VLOOKUP(Table1[[#This Row],[Point of Origin]],Table2[#All],2,0)</f>
        <v>USA</v>
      </c>
      <c r="E1675" s="46" t="str">
        <f>VLOOKUP(Table1[[#This Row],[Point of Origin]],Table2[#All],3,0)</f>
        <v>Domestic</v>
      </c>
      <c r="F1675" s="46" t="s">
        <v>154</v>
      </c>
      <c r="G1675" s="58" t="s">
        <v>155</v>
      </c>
      <c r="H1675" s="74">
        <f>6</f>
        <v>6</v>
      </c>
      <c r="I1675" s="74">
        <f>Table1[[#This Row],[Total Weight Imported (lbs)]]*0.453592</f>
        <v>2.721552</v>
      </c>
      <c r="J1675" s="75">
        <f>233.4</f>
        <v>233.4</v>
      </c>
      <c r="K1675" s="1"/>
    </row>
    <row r="1676" spans="1:11" ht="15.75" customHeight="1">
      <c r="A1676" s="46" t="s">
        <v>153</v>
      </c>
      <c r="B1676" s="46" t="s">
        <v>14</v>
      </c>
      <c r="C1676" s="46" t="s">
        <v>14</v>
      </c>
      <c r="D1676" s="46" t="str">
        <f>VLOOKUP(Table1[[#This Row],[Point of Origin]],Table2[#All],2,0)</f>
        <v>USA</v>
      </c>
      <c r="E1676" s="46" t="str">
        <f>VLOOKUP(Table1[[#This Row],[Point of Origin]],Table2[#All],3,0)</f>
        <v>Domestic</v>
      </c>
      <c r="F1676" s="47" t="s">
        <v>96</v>
      </c>
      <c r="G1676" s="58" t="s">
        <v>97</v>
      </c>
      <c r="H1676" s="74">
        <f>1</f>
        <v>1</v>
      </c>
      <c r="I1676" s="74">
        <f>Table1[[#This Row],[Total Weight Imported (lbs)]]*0.453592</f>
        <v>0.453592</v>
      </c>
      <c r="J1676" s="75">
        <f>98.1</f>
        <v>98.1</v>
      </c>
      <c r="K1676" s="41"/>
    </row>
    <row r="1677" spans="1:11" ht="15.75" customHeight="1">
      <c r="A1677" s="46" t="s">
        <v>153</v>
      </c>
      <c r="B1677" s="46" t="s">
        <v>14</v>
      </c>
      <c r="C1677" s="46" t="s">
        <v>14</v>
      </c>
      <c r="D1677" s="46" t="str">
        <f>VLOOKUP(Table1[[#This Row],[Point of Origin]],Table2[#All],2,0)</f>
        <v>USA</v>
      </c>
      <c r="E1677" s="46" t="str">
        <f>VLOOKUP(Table1[[#This Row],[Point of Origin]],Table2[#All],3,0)</f>
        <v>Domestic</v>
      </c>
      <c r="F1677" s="46" t="s">
        <v>43</v>
      </c>
      <c r="G1677" s="58" t="s">
        <v>44</v>
      </c>
      <c r="H1677" s="74">
        <f>26</f>
        <v>26</v>
      </c>
      <c r="I1677" s="74">
        <f>Table1[[#This Row],[Total Weight Imported (lbs)]]*0.453592</f>
        <v>11.793392000000001</v>
      </c>
      <c r="J1677" s="75">
        <f>1158.3</f>
        <v>1158.3</v>
      </c>
      <c r="K1677" s="41"/>
    </row>
    <row r="1678" spans="1:11" ht="15.75" customHeight="1">
      <c r="A1678" s="64" t="s">
        <v>348</v>
      </c>
      <c r="B1678" s="64" t="s">
        <v>14</v>
      </c>
      <c r="C1678" s="64" t="s">
        <v>14</v>
      </c>
      <c r="D1678" s="64" t="str">
        <f>VLOOKUP(Table1[[#This Row],[Point of Origin]],Table2[#All],2,0)</f>
        <v>USA</v>
      </c>
      <c r="E1678" s="64" t="str">
        <f>VLOOKUP(Table1[[#This Row],[Point of Origin]],Table2[#All],3,0)</f>
        <v>Domestic</v>
      </c>
      <c r="F1678" s="64" t="s">
        <v>40</v>
      </c>
      <c r="G1678" s="58" t="s">
        <v>41</v>
      </c>
      <c r="H1678" s="74">
        <f>12</f>
        <v>12</v>
      </c>
      <c r="I1678" s="74">
        <f>Table1[[#This Row],[Total Weight Imported (lbs)]]*0.453592</f>
        <v>5.4431039999999999</v>
      </c>
      <c r="J1678" s="75">
        <f>439.2</f>
        <v>439.2</v>
      </c>
      <c r="K1678" s="1"/>
    </row>
    <row r="1679" spans="1:11" ht="15.75" customHeight="1">
      <c r="A1679" s="64" t="s">
        <v>348</v>
      </c>
      <c r="B1679" s="64" t="s">
        <v>14</v>
      </c>
      <c r="C1679" s="64" t="s">
        <v>14</v>
      </c>
      <c r="D1679" s="64" t="str">
        <f>VLOOKUP(Table1[[#This Row],[Point of Origin]],Table2[#All],2,0)</f>
        <v>USA</v>
      </c>
      <c r="E1679" s="64" t="str">
        <f>VLOOKUP(Table1[[#This Row],[Point of Origin]],Table2[#All],3,0)</f>
        <v>Domestic</v>
      </c>
      <c r="F1679" s="65" t="s">
        <v>157</v>
      </c>
      <c r="G1679" s="58" t="s">
        <v>127</v>
      </c>
      <c r="H1679" s="74">
        <f>126</f>
        <v>126</v>
      </c>
      <c r="I1679" s="74">
        <f>Table1[[#This Row],[Total Weight Imported (lbs)]]*0.453592</f>
        <v>57.152591999999999</v>
      </c>
      <c r="J1679" s="75">
        <f>2387.7</f>
        <v>2387.6999999999998</v>
      </c>
      <c r="K1679" s="1"/>
    </row>
    <row r="1680" spans="1:11" ht="15.75" customHeight="1">
      <c r="A1680" s="64" t="s">
        <v>348</v>
      </c>
      <c r="B1680" s="64" t="s">
        <v>14</v>
      </c>
      <c r="C1680" s="64" t="s">
        <v>14</v>
      </c>
      <c r="D1680" s="64" t="str">
        <f>VLOOKUP(Table1[[#This Row],[Point of Origin]],Table2[#All],2,0)</f>
        <v>USA</v>
      </c>
      <c r="E1680" s="64" t="str">
        <f>VLOOKUP(Table1[[#This Row],[Point of Origin]],Table2[#All],3,0)</f>
        <v>Domestic</v>
      </c>
      <c r="F1680" s="65" t="s">
        <v>163</v>
      </c>
      <c r="G1680" s="58" t="s">
        <v>164</v>
      </c>
      <c r="H1680" s="74">
        <f>1</f>
        <v>1</v>
      </c>
      <c r="I1680" s="74">
        <f>Table1[[#This Row],[Total Weight Imported (lbs)]]*0.453592</f>
        <v>0.453592</v>
      </c>
      <c r="J1680" s="75">
        <f>88.25</f>
        <v>88.25</v>
      </c>
      <c r="K1680" s="41"/>
    </row>
    <row r="1681" spans="1:11" ht="15.75" customHeight="1">
      <c r="A1681" s="64" t="s">
        <v>348</v>
      </c>
      <c r="B1681" s="64" t="s">
        <v>14</v>
      </c>
      <c r="C1681" s="64" t="s">
        <v>14</v>
      </c>
      <c r="D1681" s="64" t="str">
        <f>VLOOKUP(Table1[[#This Row],[Point of Origin]],Table2[#All],2,0)</f>
        <v>USA</v>
      </c>
      <c r="E1681" s="64" t="str">
        <f>VLOOKUP(Table1[[#This Row],[Point of Origin]],Table2[#All],3,0)</f>
        <v>Domestic</v>
      </c>
      <c r="F1681" s="64" t="s">
        <v>143</v>
      </c>
      <c r="G1681" s="58" t="s">
        <v>144</v>
      </c>
      <c r="H1681" s="74">
        <f>9</f>
        <v>9</v>
      </c>
      <c r="I1681" s="74">
        <f>Table1[[#This Row],[Total Weight Imported (lbs)]]*0.453592</f>
        <v>4.0823280000000004</v>
      </c>
      <c r="J1681" s="75">
        <f>532.35</f>
        <v>532.35</v>
      </c>
      <c r="K1681" s="1"/>
    </row>
    <row r="1682" spans="1:11" ht="15.75" customHeight="1">
      <c r="A1682" s="64" t="s">
        <v>348</v>
      </c>
      <c r="B1682" s="64" t="s">
        <v>14</v>
      </c>
      <c r="C1682" s="64" t="s">
        <v>14</v>
      </c>
      <c r="D1682" s="64" t="str">
        <f>VLOOKUP(Table1[[#This Row],[Point of Origin]],Table2[#All],2,0)</f>
        <v>USA</v>
      </c>
      <c r="E1682" s="64" t="str">
        <f>VLOOKUP(Table1[[#This Row],[Point of Origin]],Table2[#All],3,0)</f>
        <v>Domestic</v>
      </c>
      <c r="F1682" s="64" t="s">
        <v>158</v>
      </c>
      <c r="G1682" s="58" t="s">
        <v>127</v>
      </c>
      <c r="H1682" s="74">
        <f>15</f>
        <v>15</v>
      </c>
      <c r="I1682" s="74">
        <f>Table1[[#This Row],[Total Weight Imported (lbs)]]*0.453592</f>
        <v>6.8038799999999995</v>
      </c>
      <c r="J1682" s="75">
        <f>284.25</f>
        <v>284.25</v>
      </c>
      <c r="K1682" s="1"/>
    </row>
    <row r="1683" spans="1:11" ht="15.75" customHeight="1">
      <c r="A1683" s="64" t="s">
        <v>348</v>
      </c>
      <c r="B1683" s="64" t="s">
        <v>14</v>
      </c>
      <c r="C1683" s="64" t="s">
        <v>14</v>
      </c>
      <c r="D1683" s="64" t="str">
        <f>VLOOKUP(Table1[[#This Row],[Point of Origin]],Table2[#All],2,0)</f>
        <v>USA</v>
      </c>
      <c r="E1683" s="64" t="str">
        <f>VLOOKUP(Table1[[#This Row],[Point of Origin]],Table2[#All],3,0)</f>
        <v>Domestic</v>
      </c>
      <c r="F1683" s="65" t="s">
        <v>137</v>
      </c>
      <c r="G1683" s="58" t="s">
        <v>138</v>
      </c>
      <c r="H1683" s="74">
        <f>9</f>
        <v>9</v>
      </c>
      <c r="I1683" s="74">
        <f>Table1[[#This Row],[Total Weight Imported (lbs)]]*0.453592</f>
        <v>4.0823280000000004</v>
      </c>
      <c r="J1683" s="75">
        <f>373.5</f>
        <v>373.5</v>
      </c>
      <c r="K1683" s="1"/>
    </row>
    <row r="1684" spans="1:11" ht="15.75" customHeight="1">
      <c r="A1684" s="64" t="s">
        <v>348</v>
      </c>
      <c r="B1684" s="64" t="s">
        <v>14</v>
      </c>
      <c r="C1684" s="64" t="s">
        <v>14</v>
      </c>
      <c r="D1684" s="64" t="str">
        <f>VLOOKUP(Table1[[#This Row],[Point of Origin]],Table2[#All],2,0)</f>
        <v>USA</v>
      </c>
      <c r="E1684" s="64" t="str">
        <f>VLOOKUP(Table1[[#This Row],[Point of Origin]],Table2[#All],3,0)</f>
        <v>Domestic</v>
      </c>
      <c r="F1684" s="64" t="s">
        <v>76</v>
      </c>
      <c r="G1684" s="58" t="s">
        <v>77</v>
      </c>
      <c r="H1684" s="74">
        <f>15+12+15</f>
        <v>42</v>
      </c>
      <c r="I1684" s="74">
        <f>Table1[[#This Row],[Total Weight Imported (lbs)]]*0.453592</f>
        <v>19.050864000000001</v>
      </c>
      <c r="J1684" s="75">
        <f>366+600+265.5</f>
        <v>1231.5</v>
      </c>
      <c r="K1684" s="1"/>
    </row>
    <row r="1685" spans="1:11" ht="15.75" customHeight="1">
      <c r="A1685" s="64" t="s">
        <v>348</v>
      </c>
      <c r="B1685" s="64" t="s">
        <v>14</v>
      </c>
      <c r="C1685" s="64" t="s">
        <v>14</v>
      </c>
      <c r="D1685" s="64" t="str">
        <f>VLOOKUP(Table1[[#This Row],[Point of Origin]],Table2[#All],2,0)</f>
        <v>USA</v>
      </c>
      <c r="E1685" s="64" t="str">
        <f>VLOOKUP(Table1[[#This Row],[Point of Origin]],Table2[#All],3,0)</f>
        <v>Domestic</v>
      </c>
      <c r="F1685" s="64" t="s">
        <v>141</v>
      </c>
      <c r="G1685" s="58" t="s">
        <v>142</v>
      </c>
      <c r="H1685" s="74">
        <f>8+33+13</f>
        <v>54</v>
      </c>
      <c r="I1685" s="74">
        <f>Table1[[#This Row],[Total Weight Imported (lbs)]]*0.453592</f>
        <v>24.493967999999999</v>
      </c>
      <c r="J1685" s="75">
        <f>219.6+483.45+214.5</f>
        <v>917.55</v>
      </c>
      <c r="K1685" s="1"/>
    </row>
    <row r="1686" spans="1:11" ht="15.75" customHeight="1">
      <c r="A1686" s="64" t="s">
        <v>348</v>
      </c>
      <c r="B1686" s="64" t="s">
        <v>14</v>
      </c>
      <c r="C1686" s="64" t="s">
        <v>14</v>
      </c>
      <c r="D1686" s="64" t="str">
        <f>VLOOKUP(Table1[[#This Row],[Point of Origin]],Table2[#All],2,0)</f>
        <v>USA</v>
      </c>
      <c r="E1686" s="64" t="str">
        <f>VLOOKUP(Table1[[#This Row],[Point of Origin]],Table2[#All],3,0)</f>
        <v>Domestic</v>
      </c>
      <c r="F1686" s="64" t="s">
        <v>128</v>
      </c>
      <c r="G1686" s="58" t="s">
        <v>129</v>
      </c>
      <c r="H1686" s="74">
        <f>2</f>
        <v>2</v>
      </c>
      <c r="I1686" s="74">
        <f>Table1[[#This Row],[Total Weight Imported (lbs)]]*0.453592</f>
        <v>0.90718399999999999</v>
      </c>
      <c r="J1686" s="75">
        <f>69.6</f>
        <v>69.599999999999994</v>
      </c>
      <c r="K1686" s="41"/>
    </row>
    <row r="1687" spans="1:11" ht="15.75" customHeight="1">
      <c r="A1687" s="64" t="s">
        <v>348</v>
      </c>
      <c r="B1687" s="64" t="s">
        <v>14</v>
      </c>
      <c r="C1687" s="64" t="s">
        <v>14</v>
      </c>
      <c r="D1687" s="64" t="str">
        <f>VLOOKUP(Table1[[#This Row],[Point of Origin]],Table2[#All],2,0)</f>
        <v>USA</v>
      </c>
      <c r="E1687" s="64" t="str">
        <f>VLOOKUP(Table1[[#This Row],[Point of Origin]],Table2[#All],3,0)</f>
        <v>Domestic</v>
      </c>
      <c r="F1687" s="64" t="s">
        <v>161</v>
      </c>
      <c r="G1687" s="58" t="s">
        <v>162</v>
      </c>
      <c r="H1687" s="74">
        <f>80</f>
        <v>80</v>
      </c>
      <c r="I1687" s="74">
        <f>Table1[[#This Row],[Total Weight Imported (lbs)]]*0.453592</f>
        <v>36.28736</v>
      </c>
      <c r="J1687" s="75">
        <f>1952</f>
        <v>1952</v>
      </c>
      <c r="K1687" s="1"/>
    </row>
    <row r="1688" spans="1:11" ht="15.75" customHeight="1">
      <c r="A1688" s="46" t="s">
        <v>349</v>
      </c>
      <c r="B1688" s="46" t="s">
        <v>14</v>
      </c>
      <c r="C1688" s="46" t="s">
        <v>14</v>
      </c>
      <c r="D1688" s="46" t="str">
        <f>VLOOKUP(Table1[[#This Row],[Point of Origin]],Table2[#All],2,0)</f>
        <v>USA</v>
      </c>
      <c r="E1688" s="46" t="str">
        <f>VLOOKUP(Table1[[#This Row],[Point of Origin]],Table2[#All],3,0)</f>
        <v>Domestic</v>
      </c>
      <c r="F1688" s="46" t="s">
        <v>121</v>
      </c>
      <c r="G1688" s="58" t="s">
        <v>122</v>
      </c>
      <c r="H1688" s="74">
        <f>3+31+1</f>
        <v>35</v>
      </c>
      <c r="I1688" s="74">
        <f>Table1[[#This Row],[Total Weight Imported (lbs)]]*0.453592</f>
        <v>15.875719999999999</v>
      </c>
      <c r="J1688" s="75">
        <f>105.75+829.25+40.15</f>
        <v>975.15</v>
      </c>
      <c r="K1688" s="1"/>
    </row>
    <row r="1689" spans="1:11" ht="15.75" customHeight="1">
      <c r="A1689" s="46" t="s">
        <v>349</v>
      </c>
      <c r="B1689" s="46" t="s">
        <v>14</v>
      </c>
      <c r="C1689" s="46" t="s">
        <v>14</v>
      </c>
      <c r="D1689" s="46" t="str">
        <f>VLOOKUP(Table1[[#This Row],[Point of Origin]],Table2[#All],2,0)</f>
        <v>USA</v>
      </c>
      <c r="E1689" s="46" t="str">
        <f>VLOOKUP(Table1[[#This Row],[Point of Origin]],Table2[#All],3,0)</f>
        <v>Domestic</v>
      </c>
      <c r="F1689" s="46" t="s">
        <v>82</v>
      </c>
      <c r="G1689" s="58" t="s">
        <v>20</v>
      </c>
      <c r="H1689" s="74">
        <f>14+3</f>
        <v>17</v>
      </c>
      <c r="I1689" s="74">
        <f>Table1[[#This Row],[Total Weight Imported (lbs)]]*0.453592</f>
        <v>7.7110640000000004</v>
      </c>
      <c r="J1689" s="75">
        <f>367.5+84.15</f>
        <v>451.65</v>
      </c>
      <c r="K1689" s="1"/>
    </row>
    <row r="1690" spans="1:11" ht="15.75" customHeight="1">
      <c r="A1690" s="46" t="s">
        <v>349</v>
      </c>
      <c r="B1690" s="46" t="s">
        <v>14</v>
      </c>
      <c r="C1690" s="46" t="s">
        <v>14</v>
      </c>
      <c r="D1690" s="46" t="str">
        <f>VLOOKUP(Table1[[#This Row],[Point of Origin]],Table2[#All],2,0)</f>
        <v>USA</v>
      </c>
      <c r="E1690" s="46" t="str">
        <f>VLOOKUP(Table1[[#This Row],[Point of Origin]],Table2[#All],3,0)</f>
        <v>Domestic</v>
      </c>
      <c r="F1690" s="47" t="s">
        <v>139</v>
      </c>
      <c r="G1690" s="58" t="s">
        <v>140</v>
      </c>
      <c r="H1690" s="74">
        <f>47</f>
        <v>47</v>
      </c>
      <c r="I1690" s="74">
        <f>Table1[[#This Row],[Total Weight Imported (lbs)]]*0.453592</f>
        <v>21.318823999999999</v>
      </c>
      <c r="J1690" s="75">
        <f>860.1</f>
        <v>860.1</v>
      </c>
      <c r="K1690" s="41"/>
    </row>
    <row r="1691" spans="1:11" ht="15.75" customHeight="1">
      <c r="A1691" s="46" t="s">
        <v>349</v>
      </c>
      <c r="B1691" s="46" t="s">
        <v>14</v>
      </c>
      <c r="C1691" s="46" t="s">
        <v>14</v>
      </c>
      <c r="D1691" s="46" t="str">
        <f>VLOOKUP(Table1[[#This Row],[Point of Origin]],Table2[#All],2,0)</f>
        <v>USA</v>
      </c>
      <c r="E1691" s="46" t="str">
        <f>VLOOKUP(Table1[[#This Row],[Point of Origin]],Table2[#All],3,0)</f>
        <v>Domestic</v>
      </c>
      <c r="F1691" s="46" t="s">
        <v>154</v>
      </c>
      <c r="G1691" s="58" t="s">
        <v>155</v>
      </c>
      <c r="H1691" s="74">
        <f>4</f>
        <v>4</v>
      </c>
      <c r="I1691" s="74">
        <f>Table1[[#This Row],[Total Weight Imported (lbs)]]*0.453592</f>
        <v>1.814368</v>
      </c>
      <c r="J1691" s="75">
        <f>155.6</f>
        <v>155.6</v>
      </c>
      <c r="K1691" s="1"/>
    </row>
    <row r="1692" spans="1:11" ht="15.75" customHeight="1">
      <c r="A1692" s="46" t="s">
        <v>349</v>
      </c>
      <c r="B1692" s="46" t="s">
        <v>14</v>
      </c>
      <c r="C1692" s="46" t="s">
        <v>14</v>
      </c>
      <c r="D1692" s="46" t="str">
        <f>VLOOKUP(Table1[[#This Row],[Point of Origin]],Table2[#All],2,0)</f>
        <v>USA</v>
      </c>
      <c r="E1692" s="46" t="str">
        <f>VLOOKUP(Table1[[#This Row],[Point of Origin]],Table2[#All],3,0)</f>
        <v>Domestic</v>
      </c>
      <c r="F1692" s="46" t="s">
        <v>43</v>
      </c>
      <c r="G1692" s="58" t="s">
        <v>44</v>
      </c>
      <c r="H1692" s="74">
        <f>42</f>
        <v>42</v>
      </c>
      <c r="I1692" s="74">
        <f>Table1[[#This Row],[Total Weight Imported (lbs)]]*0.453592</f>
        <v>19.050864000000001</v>
      </c>
      <c r="J1692" s="75">
        <f>1871.1</f>
        <v>1871.1</v>
      </c>
      <c r="K1692" s="1"/>
    </row>
    <row r="1693" spans="1:11" ht="15.75" customHeight="1">
      <c r="A1693" s="77"/>
      <c r="B1693" s="77"/>
      <c r="C1693" s="77"/>
      <c r="D1693" s="77"/>
      <c r="E1693" s="77"/>
      <c r="F1693" s="77"/>
      <c r="G1693" s="63"/>
      <c r="H1693" s="78"/>
      <c r="I1693" s="78"/>
      <c r="J1693" s="79"/>
      <c r="K1693" s="1"/>
    </row>
    <row r="1694" spans="1:11" ht="15.75" customHeight="1">
      <c r="A1694" s="77"/>
      <c r="B1694" s="77"/>
      <c r="C1694" s="77"/>
      <c r="D1694" s="77"/>
      <c r="E1694" s="77"/>
      <c r="F1694" s="77"/>
      <c r="G1694" s="63"/>
      <c r="H1694" s="78"/>
      <c r="I1694" s="78"/>
      <c r="J1694" s="79"/>
      <c r="K1694" s="1"/>
    </row>
    <row r="1695" spans="1:11" ht="15.75" customHeight="1">
      <c r="A1695" s="77"/>
      <c r="B1695" s="77"/>
      <c r="C1695" s="77"/>
      <c r="D1695" s="77"/>
      <c r="E1695" s="77"/>
      <c r="F1695" s="77"/>
      <c r="G1695" s="63"/>
      <c r="H1695" s="78"/>
      <c r="I1695" s="78"/>
      <c r="J1695" s="79"/>
      <c r="K1695" s="1"/>
    </row>
    <row r="1696" spans="1:11" ht="15.75" customHeight="1">
      <c r="A1696" s="77"/>
      <c r="B1696" s="77"/>
      <c r="C1696" s="77"/>
      <c r="D1696" s="77"/>
      <c r="E1696" s="77"/>
      <c r="F1696" s="77"/>
      <c r="G1696" s="63"/>
      <c r="H1696" s="78"/>
      <c r="I1696" s="78"/>
      <c r="J1696" s="79"/>
      <c r="K1696" s="1"/>
    </row>
    <row r="1697" spans="1:11" ht="15.75" customHeight="1">
      <c r="A1697" s="77"/>
      <c r="B1697" s="77"/>
      <c r="C1697" s="77"/>
      <c r="D1697" s="77"/>
      <c r="E1697" s="77"/>
      <c r="F1697" s="77"/>
      <c r="G1697" s="63"/>
      <c r="H1697" s="78"/>
      <c r="I1697" s="78"/>
      <c r="J1697" s="79"/>
      <c r="K1697" s="1"/>
    </row>
    <row r="1698" spans="1:11" ht="15.75" customHeight="1">
      <c r="A1698" s="77"/>
      <c r="B1698" s="77"/>
      <c r="C1698" s="77"/>
      <c r="D1698" s="77"/>
      <c r="E1698" s="77"/>
      <c r="F1698" s="77"/>
      <c r="G1698" s="63"/>
      <c r="H1698" s="78"/>
      <c r="I1698" s="78"/>
      <c r="J1698" s="79"/>
      <c r="K1698" s="1"/>
    </row>
    <row r="1699" spans="1:11" ht="15.75" customHeight="1">
      <c r="A1699" s="77"/>
      <c r="B1699" s="77"/>
      <c r="C1699" s="77"/>
      <c r="D1699" s="77"/>
      <c r="E1699" s="77"/>
      <c r="F1699" s="77"/>
      <c r="G1699" s="63"/>
      <c r="H1699" s="78"/>
      <c r="I1699" s="78"/>
      <c r="J1699" s="79"/>
      <c r="K1699" s="1"/>
    </row>
    <row r="1700" spans="1:11" ht="15.75" customHeight="1">
      <c r="A1700" s="52"/>
      <c r="B1700" s="52"/>
      <c r="C1700" s="52"/>
      <c r="D1700" s="52"/>
      <c r="E1700" s="52"/>
      <c r="F1700" s="52"/>
      <c r="G1700" s="63"/>
      <c r="H1700" s="78"/>
      <c r="I1700" s="78"/>
      <c r="J1700" s="79"/>
      <c r="K1700" s="1"/>
    </row>
    <row r="1701" spans="1:11" ht="15.75" customHeight="1">
      <c r="A1701" s="52"/>
      <c r="B1701" s="52"/>
      <c r="C1701" s="52"/>
      <c r="D1701" s="52"/>
      <c r="E1701" s="52"/>
      <c r="F1701" s="52"/>
      <c r="G1701" s="63"/>
      <c r="H1701" s="78"/>
      <c r="I1701" s="78"/>
      <c r="J1701" s="79"/>
      <c r="K1701" s="1"/>
    </row>
    <row r="1702" spans="1:11" ht="15.75" customHeight="1">
      <c r="A1702" s="52"/>
      <c r="B1702" s="52"/>
      <c r="C1702" s="52"/>
      <c r="D1702" s="52"/>
      <c r="E1702" s="52"/>
      <c r="F1702" s="52"/>
      <c r="G1702" s="63"/>
      <c r="H1702" s="78"/>
      <c r="I1702" s="78"/>
      <c r="J1702" s="79"/>
      <c r="K1702" s="1"/>
    </row>
    <row r="1703" spans="1:11" ht="15.75" customHeight="1">
      <c r="A1703" s="52"/>
      <c r="B1703" s="52"/>
      <c r="C1703" s="52"/>
      <c r="D1703" s="52"/>
      <c r="E1703" s="52"/>
      <c r="F1703" s="52"/>
      <c r="G1703" s="63"/>
      <c r="H1703" s="78"/>
      <c r="I1703" s="78"/>
      <c r="J1703" s="79"/>
      <c r="K1703" s="1"/>
    </row>
    <row r="1704" spans="1:11" ht="15.75" customHeight="1">
      <c r="A1704" s="52"/>
      <c r="B1704" s="52"/>
      <c r="C1704" s="52"/>
      <c r="D1704" s="52"/>
      <c r="E1704" s="52"/>
      <c r="F1704" s="52"/>
      <c r="G1704" s="63"/>
      <c r="H1704" s="78"/>
      <c r="I1704" s="78"/>
      <c r="J1704" s="79"/>
      <c r="K1704" s="1"/>
    </row>
    <row r="1705" spans="1:11" ht="15.75" customHeight="1">
      <c r="A1705" s="52"/>
      <c r="B1705" s="52"/>
      <c r="C1705" s="52"/>
      <c r="D1705" s="52"/>
      <c r="E1705" s="52"/>
      <c r="F1705" s="52"/>
      <c r="G1705" s="63"/>
      <c r="H1705" s="53"/>
      <c r="I1705" s="53"/>
      <c r="J1705" s="53"/>
      <c r="K1705" s="1"/>
    </row>
    <row r="1706" spans="1:11" ht="15.75" customHeight="1">
      <c r="A1706" s="52"/>
      <c r="B1706" s="52"/>
      <c r="C1706" s="52"/>
      <c r="D1706" s="52"/>
      <c r="E1706" s="52"/>
      <c r="F1706" s="52"/>
      <c r="G1706" s="63"/>
      <c r="H1706" s="53"/>
      <c r="I1706" s="53"/>
      <c r="J1706" s="53"/>
      <c r="K1706" s="1"/>
    </row>
    <row r="1707" spans="1:11" ht="15.75" customHeight="1">
      <c r="A1707" s="52"/>
      <c r="B1707" s="52"/>
      <c r="C1707" s="52"/>
      <c r="D1707" s="52"/>
      <c r="E1707" s="52"/>
      <c r="F1707" s="52"/>
      <c r="G1707" s="63"/>
      <c r="H1707" s="53"/>
      <c r="I1707" s="53"/>
      <c r="J1707" s="53"/>
      <c r="K1707" s="1"/>
    </row>
    <row r="1708" spans="1:11" ht="15.75" customHeight="1">
      <c r="A1708" s="52"/>
      <c r="B1708" s="52"/>
      <c r="C1708" s="52"/>
      <c r="D1708" s="52"/>
      <c r="E1708" s="52"/>
      <c r="F1708" s="52"/>
      <c r="G1708" s="63"/>
      <c r="H1708" s="53"/>
      <c r="I1708" s="53"/>
      <c r="J1708" s="53"/>
      <c r="K1708" s="1"/>
    </row>
    <row r="1709" spans="1:11" ht="15.75" customHeight="1">
      <c r="A1709" s="52"/>
      <c r="B1709" s="52"/>
      <c r="C1709" s="52"/>
      <c r="D1709" s="52"/>
      <c r="E1709" s="52"/>
      <c r="F1709" s="52"/>
      <c r="G1709" s="63"/>
      <c r="H1709" s="53"/>
      <c r="I1709" s="53"/>
      <c r="J1709" s="53"/>
      <c r="K1709" s="1"/>
    </row>
    <row r="1710" spans="1:11" ht="15.75" customHeight="1">
      <c r="A1710" s="52"/>
      <c r="B1710" s="52"/>
      <c r="C1710" s="52"/>
      <c r="D1710" s="52"/>
      <c r="E1710" s="52"/>
      <c r="F1710" s="52"/>
      <c r="G1710" s="63"/>
      <c r="H1710" s="53"/>
      <c r="I1710" s="53"/>
      <c r="J1710" s="53"/>
      <c r="K1710" s="1"/>
    </row>
    <row r="1711" spans="1:11" ht="15.75" customHeight="1">
      <c r="A1711" s="52"/>
      <c r="B1711" s="52"/>
      <c r="C1711" s="52"/>
      <c r="D1711" s="52"/>
      <c r="E1711" s="52"/>
      <c r="F1711" s="52"/>
      <c r="G1711" s="63"/>
      <c r="H1711" s="53"/>
      <c r="I1711" s="53"/>
      <c r="J1711" s="53"/>
      <c r="K1711" s="1"/>
    </row>
    <row r="1712" spans="1:11" ht="15.75" customHeight="1">
      <c r="A1712" s="52"/>
      <c r="B1712" s="52"/>
      <c r="C1712" s="52"/>
      <c r="D1712" s="52"/>
      <c r="E1712" s="52"/>
      <c r="F1712" s="52"/>
      <c r="G1712" s="63"/>
      <c r="H1712" s="53"/>
      <c r="I1712" s="53"/>
      <c r="J1712" s="53"/>
      <c r="K1712" s="1"/>
    </row>
    <row r="1713" spans="1:11" ht="15.75" customHeight="1">
      <c r="A1713" s="52"/>
      <c r="B1713" s="52"/>
      <c r="C1713" s="52"/>
      <c r="D1713" s="52"/>
      <c r="E1713" s="52"/>
      <c r="F1713" s="52"/>
      <c r="G1713" s="63"/>
      <c r="H1713" s="53"/>
      <c r="I1713" s="53"/>
      <c r="J1713" s="53"/>
      <c r="K1713" s="1"/>
    </row>
    <row r="1714" spans="1:11" ht="15.75" customHeight="1">
      <c r="A1714" s="52"/>
      <c r="B1714" s="52"/>
      <c r="C1714" s="52"/>
      <c r="D1714" s="52"/>
      <c r="E1714" s="52"/>
      <c r="F1714" s="52"/>
      <c r="G1714" s="63"/>
      <c r="H1714" s="53"/>
      <c r="I1714" s="53"/>
      <c r="J1714" s="53"/>
      <c r="K1714" s="1"/>
    </row>
    <row r="1715" spans="1:11" ht="15.75" customHeight="1">
      <c r="A1715" s="52"/>
      <c r="B1715" s="52"/>
      <c r="C1715" s="52"/>
      <c r="D1715" s="52"/>
      <c r="E1715" s="52"/>
      <c r="F1715" s="52"/>
      <c r="G1715" s="63"/>
      <c r="H1715" s="53"/>
      <c r="I1715" s="53"/>
      <c r="J1715" s="53"/>
      <c r="K1715" s="1"/>
    </row>
    <row r="1716" spans="1:11" ht="15.75" customHeight="1">
      <c r="A1716" s="52"/>
      <c r="B1716" s="52"/>
      <c r="C1716" s="52"/>
      <c r="D1716" s="52"/>
      <c r="E1716" s="52"/>
      <c r="F1716" s="52"/>
      <c r="G1716" s="63"/>
      <c r="H1716" s="53"/>
      <c r="I1716" s="53"/>
      <c r="J1716" s="53"/>
      <c r="K1716" s="1"/>
    </row>
    <row r="1717" spans="1:11" ht="15.75" customHeight="1">
      <c r="A1717" s="52"/>
      <c r="B1717" s="52"/>
      <c r="C1717" s="52"/>
      <c r="D1717" s="52"/>
      <c r="E1717" s="52"/>
      <c r="F1717" s="52"/>
      <c r="G1717" s="63"/>
      <c r="H1717" s="53"/>
      <c r="I1717" s="53"/>
      <c r="J1717" s="53"/>
      <c r="K1717" s="1"/>
    </row>
    <row r="1718" spans="1:11" ht="15.75" customHeight="1">
      <c r="A1718" s="52"/>
      <c r="B1718" s="52"/>
      <c r="C1718" s="52"/>
      <c r="D1718" s="52"/>
      <c r="E1718" s="52"/>
      <c r="F1718" s="52"/>
      <c r="G1718" s="63"/>
      <c r="H1718" s="53"/>
      <c r="I1718" s="53"/>
      <c r="J1718" s="53"/>
      <c r="K1718" s="1"/>
    </row>
    <row r="1719" spans="1:11" ht="15.75" customHeight="1">
      <c r="A1719" s="52"/>
      <c r="B1719" s="52"/>
      <c r="C1719" s="52"/>
      <c r="D1719" s="52"/>
      <c r="E1719" s="52"/>
      <c r="F1719" s="52"/>
      <c r="G1719" s="63"/>
      <c r="H1719" s="53"/>
      <c r="I1719" s="53"/>
      <c r="J1719" s="53"/>
      <c r="K1719" s="1"/>
    </row>
    <row r="1720" spans="1:11" ht="15.75" customHeight="1">
      <c r="A1720" s="52"/>
      <c r="B1720" s="52"/>
      <c r="C1720" s="52"/>
      <c r="D1720" s="52"/>
      <c r="E1720" s="52"/>
      <c r="F1720" s="52"/>
      <c r="G1720" s="63"/>
      <c r="H1720" s="53"/>
      <c r="I1720" s="53"/>
      <c r="J1720" s="53"/>
      <c r="K1720" s="1"/>
    </row>
    <row r="1721" spans="1:11" ht="15.75" customHeight="1">
      <c r="A1721" s="52"/>
      <c r="B1721" s="52"/>
      <c r="C1721" s="52"/>
      <c r="D1721" s="52"/>
      <c r="E1721" s="52"/>
      <c r="F1721" s="52"/>
      <c r="G1721" s="63"/>
      <c r="H1721" s="53"/>
      <c r="I1721" s="53"/>
      <c r="J1721" s="53"/>
      <c r="K1721" s="1"/>
    </row>
    <row r="1722" spans="1:11" ht="15.75" customHeight="1">
      <c r="A1722" s="52"/>
      <c r="B1722" s="52"/>
      <c r="C1722" s="52"/>
      <c r="D1722" s="52"/>
      <c r="E1722" s="52"/>
      <c r="F1722" s="52"/>
      <c r="G1722" s="63"/>
      <c r="H1722" s="53"/>
      <c r="I1722" s="53"/>
      <c r="J1722" s="53"/>
      <c r="K1722" s="1"/>
    </row>
    <row r="1723" spans="1:11" ht="15.75" customHeight="1">
      <c r="A1723" s="52"/>
      <c r="B1723" s="52"/>
      <c r="C1723" s="52"/>
      <c r="D1723" s="52"/>
      <c r="E1723" s="52"/>
      <c r="F1723" s="52"/>
      <c r="G1723" s="63"/>
      <c r="H1723" s="53"/>
      <c r="I1723" s="53"/>
      <c r="J1723" s="53"/>
      <c r="K1723" s="1"/>
    </row>
    <row r="1724" spans="1:11" ht="15.75" customHeight="1">
      <c r="A1724" s="52"/>
      <c r="B1724" s="52"/>
      <c r="C1724" s="52"/>
      <c r="D1724" s="52"/>
      <c r="E1724" s="52"/>
      <c r="F1724" s="52"/>
      <c r="G1724" s="63"/>
      <c r="H1724" s="53"/>
      <c r="I1724" s="53"/>
      <c r="J1724" s="53"/>
      <c r="K1724" s="1"/>
    </row>
    <row r="1725" spans="1:11" ht="15.75" customHeight="1">
      <c r="A1725" s="52"/>
      <c r="B1725" s="52"/>
      <c r="C1725" s="52"/>
      <c r="D1725" s="52"/>
      <c r="E1725" s="52"/>
      <c r="F1725" s="52"/>
      <c r="G1725" s="63"/>
      <c r="H1725" s="53"/>
      <c r="I1725" s="53"/>
      <c r="J1725" s="53"/>
      <c r="K1725" s="1"/>
    </row>
    <row r="1726" spans="1:11" ht="15.75" customHeight="1">
      <c r="A1726" s="52"/>
      <c r="B1726" s="52"/>
      <c r="C1726" s="52"/>
      <c r="D1726" s="52"/>
      <c r="E1726" s="52"/>
      <c r="F1726" s="52"/>
      <c r="G1726" s="63"/>
      <c r="H1726" s="53"/>
      <c r="I1726" s="53"/>
      <c r="J1726" s="53"/>
      <c r="K1726" s="1"/>
    </row>
    <row r="1727" spans="1:11" ht="15.75" customHeight="1">
      <c r="A1727" s="52"/>
      <c r="B1727" s="52"/>
      <c r="C1727" s="52"/>
      <c r="D1727" s="52"/>
      <c r="E1727" s="52"/>
      <c r="F1727" s="52"/>
      <c r="G1727" s="63"/>
      <c r="H1727" s="53"/>
      <c r="I1727" s="53"/>
      <c r="J1727" s="53"/>
      <c r="K1727" s="1"/>
    </row>
    <row r="1728" spans="1:11" ht="15.75" customHeight="1">
      <c r="A1728" s="52"/>
      <c r="B1728" s="52"/>
      <c r="C1728" s="52"/>
      <c r="D1728" s="52"/>
      <c r="E1728" s="52"/>
      <c r="F1728" s="52"/>
      <c r="G1728" s="63"/>
      <c r="H1728" s="53"/>
      <c r="I1728" s="53"/>
      <c r="J1728" s="53"/>
      <c r="K1728" s="1"/>
    </row>
    <row r="1729" spans="1:11" ht="15.75" customHeight="1">
      <c r="A1729" s="52"/>
      <c r="B1729" s="52"/>
      <c r="C1729" s="52"/>
      <c r="D1729" s="52"/>
      <c r="E1729" s="52"/>
      <c r="F1729" s="52"/>
      <c r="G1729" s="63"/>
      <c r="H1729" s="53"/>
      <c r="I1729" s="53"/>
      <c r="J1729" s="53"/>
      <c r="K1729" s="1"/>
    </row>
    <row r="1730" spans="1:11" ht="15.75" customHeight="1">
      <c r="A1730" s="52"/>
      <c r="B1730" s="52"/>
      <c r="C1730" s="52"/>
      <c r="D1730" s="52"/>
      <c r="E1730" s="52"/>
      <c r="F1730" s="52"/>
      <c r="G1730" s="63"/>
      <c r="H1730" s="53"/>
      <c r="I1730" s="53"/>
      <c r="J1730" s="53"/>
      <c r="K1730" s="1"/>
    </row>
    <row r="1731" spans="1:11" ht="15.75" customHeight="1">
      <c r="A1731" s="52"/>
      <c r="B1731" s="52"/>
      <c r="C1731" s="52"/>
      <c r="D1731" s="52"/>
      <c r="E1731" s="52"/>
      <c r="F1731" s="52"/>
      <c r="G1731" s="63"/>
      <c r="H1731" s="53"/>
      <c r="I1731" s="53"/>
      <c r="J1731" s="53"/>
      <c r="K1731" s="1"/>
    </row>
    <row r="1732" spans="1:11" ht="15.75" customHeight="1">
      <c r="A1732" s="52"/>
      <c r="B1732" s="52"/>
      <c r="C1732" s="52"/>
      <c r="D1732" s="52"/>
      <c r="E1732" s="52"/>
      <c r="F1732" s="52"/>
      <c r="G1732" s="63"/>
      <c r="H1732" s="53"/>
      <c r="I1732" s="53"/>
      <c r="J1732" s="53"/>
      <c r="K1732" s="1"/>
    </row>
    <row r="1733" spans="1:11" ht="15.75" customHeight="1">
      <c r="A1733" s="52"/>
      <c r="B1733" s="52"/>
      <c r="C1733" s="52"/>
      <c r="D1733" s="52"/>
      <c r="E1733" s="52"/>
      <c r="F1733" s="52"/>
      <c r="G1733" s="63"/>
      <c r="H1733" s="53"/>
      <c r="I1733" s="53"/>
      <c r="J1733" s="53"/>
      <c r="K1733" s="1"/>
    </row>
    <row r="1734" spans="1:11" ht="15.75" customHeight="1">
      <c r="A1734" s="52"/>
      <c r="B1734" s="52"/>
      <c r="C1734" s="52"/>
      <c r="D1734" s="52"/>
      <c r="E1734" s="52"/>
      <c r="F1734" s="52"/>
      <c r="G1734" s="63"/>
      <c r="H1734" s="53"/>
      <c r="I1734" s="53"/>
      <c r="J1734" s="53"/>
      <c r="K1734" s="1"/>
    </row>
    <row r="1735" spans="1:11" ht="15.75" customHeight="1">
      <c r="A1735" s="52"/>
      <c r="B1735" s="52"/>
      <c r="C1735" s="52"/>
      <c r="D1735" s="52"/>
      <c r="E1735" s="52"/>
      <c r="F1735" s="52"/>
      <c r="G1735" s="63"/>
      <c r="H1735" s="53"/>
      <c r="I1735" s="53"/>
      <c r="J1735" s="53"/>
      <c r="K1735" s="1"/>
    </row>
    <row r="1736" spans="1:11" ht="15.75" customHeight="1">
      <c r="A1736" s="52"/>
      <c r="B1736" s="52"/>
      <c r="C1736" s="52"/>
      <c r="D1736" s="52"/>
      <c r="E1736" s="52"/>
      <c r="F1736" s="52"/>
      <c r="G1736" s="63"/>
      <c r="H1736" s="53"/>
      <c r="I1736" s="53"/>
      <c r="J1736" s="53"/>
      <c r="K1736" s="1"/>
    </row>
    <row r="1737" spans="1:11" ht="15.75" customHeight="1">
      <c r="A1737" s="52"/>
      <c r="B1737" s="52"/>
      <c r="C1737" s="52"/>
      <c r="D1737" s="52"/>
      <c r="E1737" s="52"/>
      <c r="F1737" s="52"/>
      <c r="G1737" s="63"/>
      <c r="H1737" s="53"/>
      <c r="I1737" s="53"/>
      <c r="J1737" s="53"/>
      <c r="K1737" s="1"/>
    </row>
    <row r="1738" spans="1:11" ht="15.75" customHeight="1">
      <c r="A1738" s="52"/>
      <c r="B1738" s="52"/>
      <c r="C1738" s="52"/>
      <c r="D1738" s="52"/>
      <c r="E1738" s="52"/>
      <c r="F1738" s="52"/>
      <c r="G1738" s="63"/>
      <c r="H1738" s="53"/>
      <c r="I1738" s="53"/>
      <c r="J1738" s="53"/>
      <c r="K1738" s="1"/>
    </row>
    <row r="1739" spans="1:11" ht="15.75" customHeight="1">
      <c r="A1739" s="52"/>
      <c r="B1739" s="52"/>
      <c r="C1739" s="52"/>
      <c r="D1739" s="52"/>
      <c r="E1739" s="52"/>
      <c r="F1739" s="52"/>
      <c r="G1739" s="63"/>
      <c r="H1739" s="53"/>
      <c r="I1739" s="53"/>
      <c r="J1739" s="53"/>
      <c r="K1739" s="1"/>
    </row>
    <row r="1740" spans="1:11" ht="15.75" customHeight="1">
      <c r="A1740" s="52"/>
      <c r="B1740" s="52"/>
      <c r="C1740" s="52"/>
      <c r="D1740" s="52"/>
      <c r="E1740" s="52"/>
      <c r="F1740" s="52"/>
      <c r="G1740" s="63"/>
      <c r="H1740" s="53"/>
      <c r="I1740" s="53"/>
      <c r="J1740" s="53"/>
      <c r="K1740" s="1"/>
    </row>
    <row r="1741" spans="1:11" ht="15.75" customHeight="1">
      <c r="A1741" s="52"/>
      <c r="B1741" s="52"/>
      <c r="C1741" s="52"/>
      <c r="D1741" s="52"/>
      <c r="E1741" s="52"/>
      <c r="F1741" s="52"/>
      <c r="G1741" s="63"/>
      <c r="H1741" s="53"/>
      <c r="I1741" s="53"/>
      <c r="J1741" s="53"/>
      <c r="K1741" s="1"/>
    </row>
    <row r="1742" spans="1:11" ht="15.75" customHeight="1">
      <c r="A1742" s="52"/>
      <c r="B1742" s="52"/>
      <c r="C1742" s="52"/>
      <c r="D1742" s="52"/>
      <c r="E1742" s="52"/>
      <c r="F1742" s="52"/>
      <c r="G1742" s="63"/>
      <c r="H1742" s="53"/>
      <c r="I1742" s="53"/>
      <c r="J1742" s="53"/>
      <c r="K1742" s="1"/>
    </row>
    <row r="1743" spans="1:11" ht="15.75" customHeight="1">
      <c r="A1743" s="52"/>
      <c r="B1743" s="52"/>
      <c r="C1743" s="52"/>
      <c r="D1743" s="52"/>
      <c r="E1743" s="52"/>
      <c r="F1743" s="52"/>
      <c r="G1743" s="63"/>
      <c r="H1743" s="53"/>
      <c r="I1743" s="53"/>
      <c r="J1743" s="53"/>
      <c r="K1743" s="1"/>
    </row>
    <row r="1744" spans="1:11" ht="15.75" customHeight="1">
      <c r="A1744" s="52"/>
      <c r="B1744" s="52"/>
      <c r="C1744" s="52"/>
      <c r="D1744" s="52"/>
      <c r="E1744" s="52"/>
      <c r="F1744" s="52"/>
      <c r="G1744" s="63"/>
      <c r="H1744" s="53"/>
      <c r="I1744" s="53"/>
      <c r="J1744" s="53"/>
      <c r="K1744" s="1"/>
    </row>
    <row r="1745" spans="1:11" ht="15.75" customHeight="1">
      <c r="A1745" s="52"/>
      <c r="B1745" s="52"/>
      <c r="C1745" s="52"/>
      <c r="D1745" s="52"/>
      <c r="E1745" s="52"/>
      <c r="F1745" s="52"/>
      <c r="G1745" s="63"/>
      <c r="H1745" s="53"/>
      <c r="I1745" s="53"/>
      <c r="J1745" s="53"/>
      <c r="K1745" s="1"/>
    </row>
    <row r="1746" spans="1:11" ht="15.75" customHeight="1">
      <c r="A1746" s="52"/>
      <c r="B1746" s="52"/>
      <c r="C1746" s="52"/>
      <c r="D1746" s="52"/>
      <c r="E1746" s="52"/>
      <c r="F1746" s="52"/>
      <c r="G1746" s="63"/>
      <c r="H1746" s="53"/>
      <c r="I1746" s="53"/>
      <c r="J1746" s="53"/>
      <c r="K1746" s="1"/>
    </row>
    <row r="1747" spans="1:11" ht="15.75" customHeight="1">
      <c r="A1747" s="52"/>
      <c r="B1747" s="52"/>
      <c r="C1747" s="52"/>
      <c r="D1747" s="52"/>
      <c r="E1747" s="52"/>
      <c r="F1747" s="52"/>
      <c r="G1747" s="63"/>
      <c r="H1747" s="53"/>
      <c r="I1747" s="53"/>
      <c r="J1747" s="53"/>
      <c r="K1747" s="1"/>
    </row>
    <row r="1748" spans="1:11" ht="15.75" customHeight="1">
      <c r="A1748" s="52"/>
      <c r="B1748" s="52"/>
      <c r="C1748" s="52"/>
      <c r="D1748" s="52"/>
      <c r="E1748" s="52"/>
      <c r="F1748" s="52"/>
      <c r="G1748" s="63"/>
      <c r="H1748" s="53"/>
      <c r="I1748" s="53"/>
      <c r="J1748" s="53"/>
      <c r="K1748" s="1"/>
    </row>
    <row r="1749" spans="1:11" ht="15.75" customHeight="1">
      <c r="A1749" s="52"/>
      <c r="B1749" s="52"/>
      <c r="C1749" s="52"/>
      <c r="D1749" s="52"/>
      <c r="E1749" s="52"/>
      <c r="F1749" s="52"/>
      <c r="G1749" s="63"/>
      <c r="H1749" s="53"/>
      <c r="I1749" s="53"/>
      <c r="J1749" s="53"/>
      <c r="K1749" s="1"/>
    </row>
    <row r="1750" spans="1:11" ht="15.75" customHeight="1">
      <c r="A1750" s="52"/>
      <c r="B1750" s="52"/>
      <c r="C1750" s="52"/>
      <c r="D1750" s="52"/>
      <c r="E1750" s="52"/>
      <c r="F1750" s="52"/>
      <c r="G1750" s="63"/>
      <c r="H1750" s="53"/>
      <c r="I1750" s="53"/>
      <c r="J1750" s="53"/>
      <c r="K1750" s="1"/>
    </row>
    <row r="1751" spans="1:11" ht="15.75" customHeight="1">
      <c r="A1751" s="52"/>
      <c r="B1751" s="52"/>
      <c r="C1751" s="52"/>
      <c r="D1751" s="52"/>
      <c r="E1751" s="52"/>
      <c r="F1751" s="52"/>
      <c r="G1751" s="63"/>
      <c r="H1751" s="53"/>
      <c r="I1751" s="53"/>
      <c r="J1751" s="53"/>
      <c r="K1751" s="1"/>
    </row>
    <row r="1752" spans="1:11" ht="15.75" customHeight="1">
      <c r="A1752" s="52"/>
      <c r="B1752" s="52"/>
      <c r="C1752" s="52"/>
      <c r="D1752" s="52"/>
      <c r="E1752" s="52"/>
      <c r="F1752" s="52"/>
      <c r="G1752" s="63"/>
      <c r="H1752" s="53"/>
      <c r="I1752" s="53"/>
      <c r="J1752" s="53"/>
      <c r="K1752" s="1"/>
    </row>
    <row r="1753" spans="1:11" ht="15.75" customHeight="1">
      <c r="A1753" s="52"/>
      <c r="B1753" s="52"/>
      <c r="C1753" s="52"/>
      <c r="D1753" s="52"/>
      <c r="E1753" s="52"/>
      <c r="F1753" s="52"/>
      <c r="G1753" s="63"/>
      <c r="H1753" s="53"/>
      <c r="I1753" s="53"/>
      <c r="J1753" s="53"/>
      <c r="K1753" s="1"/>
    </row>
    <row r="1754" spans="1:11" ht="15.75" customHeight="1">
      <c r="A1754" s="52"/>
      <c r="B1754" s="52"/>
      <c r="C1754" s="52"/>
      <c r="D1754" s="52"/>
      <c r="E1754" s="52"/>
      <c r="F1754" s="52"/>
      <c r="G1754" s="63"/>
      <c r="H1754" s="53"/>
      <c r="I1754" s="53"/>
      <c r="J1754" s="53"/>
      <c r="K1754" s="1"/>
    </row>
    <row r="1755" spans="1:11" ht="15.75" customHeight="1">
      <c r="A1755" s="52"/>
      <c r="B1755" s="52"/>
      <c r="C1755" s="52"/>
      <c r="D1755" s="52"/>
      <c r="E1755" s="52"/>
      <c r="F1755" s="52"/>
      <c r="G1755" s="63"/>
      <c r="H1755" s="53"/>
      <c r="I1755" s="53"/>
      <c r="J1755" s="53"/>
      <c r="K1755" s="1"/>
    </row>
    <row r="1756" spans="1:11" ht="15.75" customHeight="1">
      <c r="A1756" s="52"/>
      <c r="B1756" s="52"/>
      <c r="C1756" s="52"/>
      <c r="D1756" s="52"/>
      <c r="E1756" s="52"/>
      <c r="F1756" s="52"/>
      <c r="G1756" s="63"/>
      <c r="H1756" s="53"/>
      <c r="I1756" s="53"/>
      <c r="J1756" s="53"/>
      <c r="K1756" s="1"/>
    </row>
    <row r="1757" spans="1:11" ht="15.75" customHeight="1">
      <c r="A1757" s="52"/>
      <c r="B1757" s="52"/>
      <c r="C1757" s="52"/>
      <c r="D1757" s="52"/>
      <c r="E1757" s="52"/>
      <c r="F1757" s="52"/>
      <c r="G1757" s="63"/>
      <c r="H1757" s="53"/>
      <c r="I1757" s="53"/>
      <c r="J1757" s="53"/>
      <c r="K1757" s="1"/>
    </row>
    <row r="1758" spans="1:11" ht="15.75" customHeight="1">
      <c r="A1758" s="52"/>
      <c r="B1758" s="52"/>
      <c r="C1758" s="52"/>
      <c r="D1758" s="52"/>
      <c r="E1758" s="52"/>
      <c r="F1758" s="52"/>
      <c r="G1758" s="63"/>
      <c r="H1758" s="53"/>
      <c r="I1758" s="53"/>
      <c r="J1758" s="53"/>
      <c r="K1758" s="1"/>
    </row>
    <row r="1759" spans="1:11" ht="15.75" customHeight="1">
      <c r="A1759" s="52"/>
      <c r="B1759" s="52"/>
      <c r="C1759" s="52"/>
      <c r="D1759" s="52"/>
      <c r="E1759" s="52"/>
      <c r="F1759" s="52"/>
      <c r="G1759" s="63"/>
      <c r="H1759" s="53"/>
      <c r="I1759" s="53"/>
      <c r="J1759" s="53"/>
      <c r="K1759" s="1"/>
    </row>
    <row r="1760" spans="1:11" ht="15.75" customHeight="1">
      <c r="A1760" s="52"/>
      <c r="B1760" s="52"/>
      <c r="C1760" s="52"/>
      <c r="D1760" s="52"/>
      <c r="E1760" s="52"/>
      <c r="F1760" s="52"/>
      <c r="G1760" s="63"/>
      <c r="H1760" s="53"/>
      <c r="I1760" s="53"/>
      <c r="J1760" s="53"/>
      <c r="K1760" s="1"/>
    </row>
    <row r="1761" spans="1:11" ht="15.75" customHeight="1">
      <c r="A1761" s="52"/>
      <c r="B1761" s="52"/>
      <c r="C1761" s="52"/>
      <c r="D1761" s="52"/>
      <c r="E1761" s="52"/>
      <c r="F1761" s="52"/>
      <c r="G1761" s="58"/>
      <c r="H1761" s="2"/>
      <c r="I1761" s="2"/>
      <c r="J1761" s="2"/>
      <c r="K1761" s="1"/>
    </row>
    <row r="1762" spans="1:11" ht="15.75" customHeight="1">
      <c r="A1762" s="52"/>
      <c r="B1762" s="52"/>
      <c r="C1762" s="52"/>
      <c r="D1762" s="52"/>
      <c r="E1762" s="52"/>
      <c r="F1762" s="52"/>
      <c r="G1762" s="58"/>
      <c r="H1762" s="2"/>
      <c r="I1762" s="2"/>
      <c r="J1762" s="2"/>
      <c r="K1762" s="1"/>
    </row>
    <row r="1763" spans="1:11" ht="15.75" customHeight="1">
      <c r="A1763" s="52"/>
      <c r="B1763" s="52"/>
      <c r="C1763" s="52"/>
      <c r="D1763" s="52"/>
      <c r="E1763" s="52"/>
      <c r="F1763" s="52"/>
      <c r="G1763" s="58"/>
      <c r="H1763" s="2"/>
      <c r="I1763" s="2"/>
      <c r="J1763" s="2"/>
      <c r="K1763" s="1"/>
    </row>
    <row r="1764" spans="1:11" ht="15.75" customHeight="1">
      <c r="A1764" s="52"/>
      <c r="B1764" s="52"/>
      <c r="C1764" s="52"/>
      <c r="D1764" s="52"/>
      <c r="E1764" s="52"/>
      <c r="F1764" s="52"/>
      <c r="G1764" s="58"/>
      <c r="H1764" s="2"/>
      <c r="I1764" s="2"/>
      <c r="J1764" s="2"/>
      <c r="K1764" s="1"/>
    </row>
    <row r="1765" spans="1:11" ht="15.75" customHeight="1">
      <c r="A1765" s="52"/>
      <c r="B1765" s="52"/>
      <c r="C1765" s="52"/>
      <c r="D1765" s="52"/>
      <c r="E1765" s="52"/>
      <c r="F1765" s="52"/>
      <c r="G1765" s="58"/>
      <c r="H1765" s="2"/>
      <c r="I1765" s="2"/>
      <c r="J1765" s="2"/>
      <c r="K1765" s="1"/>
    </row>
    <row r="1766" spans="1:11" ht="15.75" customHeight="1">
      <c r="A1766" s="52"/>
      <c r="B1766" s="52"/>
      <c r="C1766" s="52"/>
      <c r="D1766" s="52"/>
      <c r="E1766" s="52"/>
      <c r="F1766" s="52"/>
      <c r="G1766" s="58"/>
      <c r="H1766" s="2"/>
      <c r="I1766" s="2"/>
      <c r="J1766" s="2"/>
      <c r="K1766" s="1"/>
    </row>
    <row r="1767" spans="1:11" ht="15.75" customHeight="1">
      <c r="A1767" s="52"/>
      <c r="B1767" s="52"/>
      <c r="C1767" s="52"/>
      <c r="D1767" s="52"/>
      <c r="E1767" s="52"/>
      <c r="F1767" s="52"/>
      <c r="G1767" s="58"/>
      <c r="H1767" s="2"/>
      <c r="I1767" s="2"/>
      <c r="J1767" s="2"/>
      <c r="K1767" s="1"/>
    </row>
    <row r="1768" spans="1:11" ht="15.75" customHeight="1">
      <c r="A1768" s="52"/>
      <c r="B1768" s="52"/>
      <c r="C1768" s="52"/>
      <c r="D1768" s="52"/>
      <c r="E1768" s="52"/>
      <c r="F1768" s="52"/>
      <c r="G1768" s="58"/>
      <c r="H1768" s="2"/>
      <c r="I1768" s="2"/>
      <c r="J1768" s="2"/>
      <c r="K1768" s="1"/>
    </row>
    <row r="1769" spans="1:11" ht="15.75" customHeight="1">
      <c r="A1769" s="52"/>
      <c r="B1769" s="52"/>
      <c r="C1769" s="52"/>
      <c r="D1769" s="52"/>
      <c r="E1769" s="52"/>
      <c r="F1769" s="52"/>
      <c r="G1769" s="58"/>
      <c r="H1769" s="2"/>
      <c r="I1769" s="2"/>
      <c r="J1769" s="2"/>
      <c r="K1769" s="1"/>
    </row>
    <row r="1770" spans="1:11" ht="15.75" customHeight="1">
      <c r="A1770" s="52"/>
      <c r="B1770" s="52"/>
      <c r="C1770" s="52"/>
      <c r="D1770" s="52"/>
      <c r="E1770" s="52"/>
      <c r="F1770" s="52"/>
      <c r="G1770" s="58"/>
      <c r="H1770" s="2"/>
      <c r="I1770" s="2"/>
      <c r="J1770" s="2"/>
      <c r="K1770" s="1"/>
    </row>
    <row r="1771" spans="1:11" ht="15.75" customHeight="1">
      <c r="A1771" s="52"/>
      <c r="B1771" s="52"/>
      <c r="C1771" s="52"/>
      <c r="D1771" s="52"/>
      <c r="E1771" s="52"/>
      <c r="F1771" s="52"/>
      <c r="G1771" s="58"/>
      <c r="H1771" s="2"/>
      <c r="I1771" s="2"/>
      <c r="J1771" s="2"/>
      <c r="K1771" s="1"/>
    </row>
    <row r="1772" spans="1:11" ht="15.75" customHeight="1">
      <c r="A1772" s="52"/>
      <c r="B1772" s="52"/>
      <c r="C1772" s="52"/>
      <c r="D1772" s="52"/>
      <c r="E1772" s="52"/>
      <c r="F1772" s="52"/>
      <c r="G1772" s="58"/>
      <c r="H1772" s="2"/>
      <c r="I1772" s="2"/>
      <c r="J1772" s="2"/>
      <c r="K1772" s="1"/>
    </row>
    <row r="1773" spans="1:11" ht="15.75" customHeight="1">
      <c r="A1773" s="52"/>
      <c r="B1773" s="52"/>
      <c r="C1773" s="52"/>
      <c r="D1773" s="52"/>
      <c r="E1773" s="52"/>
      <c r="F1773" s="52"/>
      <c r="G1773" s="58"/>
      <c r="H1773" s="2"/>
      <c r="I1773" s="2"/>
      <c r="J1773" s="2"/>
      <c r="K1773" s="1"/>
    </row>
    <row r="1774" spans="1:11" ht="15.75" customHeight="1">
      <c r="A1774" s="52"/>
      <c r="B1774" s="52"/>
      <c r="C1774" s="52"/>
      <c r="D1774" s="52"/>
      <c r="E1774" s="52"/>
      <c r="F1774" s="52"/>
      <c r="G1774" s="58"/>
      <c r="H1774" s="2"/>
      <c r="I1774" s="2"/>
      <c r="J1774" s="2"/>
      <c r="K1774" s="1"/>
    </row>
    <row r="1775" spans="1:11" ht="15.75" customHeight="1">
      <c r="A1775" s="52"/>
      <c r="B1775" s="52"/>
      <c r="C1775" s="52"/>
      <c r="D1775" s="52"/>
      <c r="E1775" s="52"/>
      <c r="F1775" s="52"/>
      <c r="G1775" s="58"/>
      <c r="H1775" s="2"/>
      <c r="I1775" s="2"/>
      <c r="J1775" s="2"/>
      <c r="K1775" s="1"/>
    </row>
    <row r="1776" spans="1:11" ht="15.75" customHeight="1">
      <c r="A1776" s="52"/>
      <c r="B1776" s="52"/>
      <c r="C1776" s="52"/>
      <c r="D1776" s="52"/>
      <c r="E1776" s="52"/>
      <c r="F1776" s="52"/>
      <c r="G1776" s="58"/>
      <c r="H1776" s="2"/>
      <c r="I1776" s="2"/>
      <c r="J1776" s="2"/>
      <c r="K1776" s="1"/>
    </row>
    <row r="1777" spans="1:11" ht="15.75" customHeight="1">
      <c r="A1777" s="52"/>
      <c r="B1777" s="52"/>
      <c r="C1777" s="52"/>
      <c r="D1777" s="52"/>
      <c r="E1777" s="52"/>
      <c r="F1777" s="52"/>
      <c r="G1777" s="58"/>
      <c r="H1777" s="2"/>
      <c r="I1777" s="2"/>
      <c r="J1777" s="2"/>
      <c r="K1777" s="1"/>
    </row>
    <row r="1778" spans="1:11" ht="15.75" customHeight="1">
      <c r="A1778" s="52"/>
      <c r="B1778" s="52"/>
      <c r="C1778" s="52"/>
      <c r="D1778" s="52"/>
      <c r="E1778" s="52"/>
      <c r="F1778" s="52"/>
      <c r="G1778" s="58"/>
      <c r="H1778" s="2"/>
      <c r="I1778" s="2"/>
      <c r="J1778" s="2"/>
      <c r="K1778" s="1"/>
    </row>
    <row r="1779" spans="1:11" ht="15.75" customHeight="1">
      <c r="A1779" s="52"/>
      <c r="B1779" s="52"/>
      <c r="C1779" s="52"/>
      <c r="D1779" s="52"/>
      <c r="E1779" s="52"/>
      <c r="F1779" s="52"/>
      <c r="G1779" s="58"/>
      <c r="H1779" s="2"/>
      <c r="I1779" s="2"/>
      <c r="J1779" s="2"/>
      <c r="K1779" s="1"/>
    </row>
    <row r="1780" spans="1:11" ht="15.75" customHeight="1">
      <c r="A1780" s="52"/>
      <c r="B1780" s="52"/>
      <c r="C1780" s="52"/>
      <c r="D1780" s="52"/>
      <c r="E1780" s="52"/>
      <c r="F1780" s="52"/>
      <c r="G1780" s="58"/>
      <c r="H1780" s="2"/>
      <c r="I1780" s="2"/>
      <c r="J1780" s="2"/>
      <c r="K1780" s="1"/>
    </row>
    <row r="1781" spans="1:11" ht="15.75" customHeight="1">
      <c r="A1781" s="52"/>
      <c r="B1781" s="52"/>
      <c r="C1781" s="52"/>
      <c r="D1781" s="52"/>
      <c r="E1781" s="52"/>
      <c r="F1781" s="52"/>
      <c r="G1781" s="58"/>
      <c r="H1781" s="2"/>
      <c r="I1781" s="2"/>
      <c r="J1781" s="2"/>
      <c r="K1781" s="1"/>
    </row>
    <row r="1782" spans="1:11" ht="15.75" customHeight="1">
      <c r="A1782" s="52"/>
      <c r="B1782" s="52"/>
      <c r="C1782" s="52"/>
      <c r="D1782" s="52"/>
      <c r="E1782" s="52"/>
      <c r="F1782" s="52"/>
      <c r="G1782" s="58"/>
      <c r="H1782" s="2"/>
      <c r="I1782" s="2"/>
      <c r="J1782" s="2"/>
      <c r="K1782" s="1"/>
    </row>
    <row r="1783" spans="1:11" ht="15.75" customHeight="1">
      <c r="A1783" s="52"/>
      <c r="B1783" s="52"/>
      <c r="C1783" s="52"/>
      <c r="D1783" s="52"/>
      <c r="E1783" s="52"/>
      <c r="F1783" s="52"/>
      <c r="G1783" s="58"/>
      <c r="H1783" s="2"/>
      <c r="I1783" s="2"/>
      <c r="J1783" s="2"/>
      <c r="K1783" s="1"/>
    </row>
    <row r="1784" spans="1:11" ht="15.75" customHeight="1">
      <c r="A1784" s="52"/>
      <c r="B1784" s="52"/>
      <c r="C1784" s="52"/>
      <c r="D1784" s="52"/>
      <c r="E1784" s="52"/>
      <c r="F1784" s="52"/>
      <c r="G1784" s="58"/>
      <c r="H1784" s="2"/>
      <c r="I1784" s="2"/>
      <c r="J1784" s="2"/>
      <c r="K1784" s="1"/>
    </row>
    <row r="1785" spans="1:11" ht="15.75" customHeight="1">
      <c r="A1785" s="52"/>
      <c r="B1785" s="52"/>
      <c r="C1785" s="52"/>
      <c r="D1785" s="52"/>
      <c r="E1785" s="52"/>
      <c r="F1785" s="52"/>
      <c r="G1785" s="58"/>
      <c r="H1785" s="2"/>
      <c r="I1785" s="2"/>
      <c r="J1785" s="2"/>
      <c r="K1785" s="1"/>
    </row>
    <row r="1786" spans="1:11" ht="15.75" customHeight="1">
      <c r="A1786" s="52"/>
      <c r="B1786" s="52"/>
      <c r="C1786" s="52"/>
      <c r="D1786" s="52"/>
      <c r="E1786" s="52"/>
      <c r="F1786" s="52"/>
      <c r="G1786" s="58"/>
      <c r="H1786" s="2"/>
      <c r="I1786" s="2"/>
      <c r="J1786" s="2"/>
      <c r="K1786" s="1"/>
    </row>
    <row r="1787" spans="1:11" ht="15.75" customHeight="1">
      <c r="A1787" s="52"/>
      <c r="B1787" s="52"/>
      <c r="C1787" s="52"/>
      <c r="D1787" s="52"/>
      <c r="E1787" s="52"/>
      <c r="F1787" s="52"/>
      <c r="G1787" s="58"/>
      <c r="H1787" s="2"/>
      <c r="I1787" s="2"/>
      <c r="J1787" s="2"/>
      <c r="K1787" s="1"/>
    </row>
    <row r="1788" spans="1:11" ht="15.75" customHeight="1">
      <c r="A1788" s="52"/>
      <c r="B1788" s="52"/>
      <c r="C1788" s="52"/>
      <c r="D1788" s="52"/>
      <c r="E1788" s="52"/>
      <c r="F1788" s="52"/>
      <c r="G1788" s="58"/>
      <c r="H1788" s="2"/>
      <c r="I1788" s="2"/>
      <c r="J1788" s="2"/>
      <c r="K1788" s="1"/>
    </row>
    <row r="1789" spans="1:11" ht="15.75" customHeight="1">
      <c r="A1789" s="52"/>
      <c r="B1789" s="52"/>
      <c r="C1789" s="52"/>
      <c r="D1789" s="52"/>
      <c r="E1789" s="52"/>
      <c r="F1789" s="52"/>
      <c r="G1789" s="58"/>
      <c r="H1789" s="2"/>
      <c r="I1789" s="2"/>
      <c r="J1789" s="2"/>
      <c r="K1789" s="1"/>
    </row>
    <row r="1790" spans="1:11" ht="15.75" customHeight="1">
      <c r="A1790" s="52"/>
      <c r="B1790" s="52"/>
      <c r="C1790" s="52"/>
      <c r="D1790" s="52"/>
      <c r="E1790" s="52"/>
      <c r="F1790" s="52"/>
      <c r="G1790" s="58"/>
      <c r="H1790" s="2"/>
      <c r="I1790" s="2"/>
      <c r="J1790" s="2"/>
      <c r="K1790" s="1"/>
    </row>
    <row r="1791" spans="1:11" ht="15.75" customHeight="1">
      <c r="A1791" s="52"/>
      <c r="B1791" s="52"/>
      <c r="C1791" s="52"/>
      <c r="D1791" s="52"/>
      <c r="E1791" s="52"/>
      <c r="F1791" s="52"/>
      <c r="G1791" s="58"/>
      <c r="H1791" s="2"/>
      <c r="I1791" s="2"/>
      <c r="J1791" s="2"/>
      <c r="K1791" s="1"/>
    </row>
    <row r="1792" spans="1:11" ht="15.75" customHeight="1">
      <c r="A1792" s="52"/>
      <c r="B1792" s="52"/>
      <c r="C1792" s="52"/>
      <c r="D1792" s="52"/>
      <c r="E1792" s="52"/>
      <c r="F1792" s="52"/>
      <c r="G1792" s="58"/>
      <c r="H1792" s="2"/>
      <c r="I1792" s="2"/>
      <c r="J1792" s="2"/>
      <c r="K1792" s="1"/>
    </row>
    <row r="1793" spans="1:11" ht="15.75" customHeight="1">
      <c r="A1793" s="52"/>
      <c r="B1793" s="52"/>
      <c r="C1793" s="52"/>
      <c r="D1793" s="52"/>
      <c r="E1793" s="52"/>
      <c r="F1793" s="52"/>
      <c r="G1793" s="58"/>
      <c r="H1793" s="2"/>
      <c r="I1793" s="2"/>
      <c r="J1793" s="2"/>
      <c r="K1793" s="1"/>
    </row>
    <row r="1794" spans="1:11" ht="15.75" customHeight="1">
      <c r="A1794" s="52"/>
      <c r="B1794" s="52"/>
      <c r="C1794" s="52"/>
      <c r="D1794" s="52"/>
      <c r="E1794" s="52"/>
      <c r="F1794" s="52"/>
      <c r="G1794" s="58"/>
      <c r="H1794" s="2"/>
      <c r="I1794" s="2"/>
      <c r="J1794" s="2"/>
      <c r="K1794" s="1"/>
    </row>
    <row r="1795" spans="1:11" ht="15.75" customHeight="1">
      <c r="A1795" s="52"/>
      <c r="B1795" s="52"/>
      <c r="C1795" s="52"/>
      <c r="D1795" s="52"/>
      <c r="E1795" s="52"/>
      <c r="F1795" s="52"/>
      <c r="G1795" s="58"/>
      <c r="H1795" s="2"/>
      <c r="I1795" s="2"/>
      <c r="J1795" s="2"/>
      <c r="K1795" s="1"/>
    </row>
    <row r="1796" spans="1:11" ht="15.75" customHeight="1">
      <c r="A1796" s="52"/>
      <c r="B1796" s="52"/>
      <c r="C1796" s="52"/>
      <c r="D1796" s="52"/>
      <c r="E1796" s="52"/>
      <c r="F1796" s="52"/>
      <c r="G1796" s="58"/>
      <c r="H1796" s="2"/>
      <c r="I1796" s="2"/>
      <c r="J1796" s="2"/>
      <c r="K1796" s="1"/>
    </row>
    <row r="1797" spans="1:11" ht="15.75" customHeight="1">
      <c r="A1797" s="52"/>
      <c r="B1797" s="52"/>
      <c r="C1797" s="52"/>
      <c r="D1797" s="52"/>
      <c r="E1797" s="52"/>
      <c r="F1797" s="52"/>
      <c r="G1797" s="58"/>
      <c r="H1797" s="2"/>
      <c r="I1797" s="2"/>
      <c r="J1797" s="2"/>
      <c r="K1797" s="1"/>
    </row>
    <row r="1798" spans="1:11" ht="15.75" customHeight="1">
      <c r="A1798" s="52"/>
      <c r="B1798" s="52"/>
      <c r="C1798" s="52"/>
      <c r="D1798" s="52"/>
      <c r="E1798" s="52"/>
      <c r="F1798" s="52"/>
      <c r="G1798" s="58"/>
      <c r="H1798" s="2"/>
      <c r="I1798" s="2"/>
      <c r="J1798" s="2"/>
      <c r="K1798" s="1"/>
    </row>
    <row r="1799" spans="1:11" ht="15.75" customHeight="1">
      <c r="A1799" s="52"/>
      <c r="B1799" s="52"/>
      <c r="C1799" s="52"/>
      <c r="D1799" s="52"/>
      <c r="E1799" s="52"/>
      <c r="F1799" s="52"/>
      <c r="G1799" s="58"/>
      <c r="H1799" s="2"/>
      <c r="I1799" s="2"/>
      <c r="J1799" s="2"/>
      <c r="K1799" s="1"/>
    </row>
    <row r="1800" spans="1:11" ht="15.75" customHeight="1">
      <c r="A1800" s="52"/>
      <c r="B1800" s="52"/>
      <c r="C1800" s="52"/>
      <c r="D1800" s="52"/>
      <c r="E1800" s="52"/>
      <c r="F1800" s="52"/>
      <c r="G1800" s="58"/>
      <c r="H1800" s="2"/>
      <c r="I1800" s="2"/>
      <c r="J1800" s="2"/>
      <c r="K1800" s="1"/>
    </row>
    <row r="1801" spans="1:11" ht="15.75" customHeight="1">
      <c r="A1801" s="52"/>
      <c r="B1801" s="52"/>
      <c r="C1801" s="52"/>
      <c r="D1801" s="52"/>
      <c r="E1801" s="52"/>
      <c r="F1801" s="52"/>
      <c r="G1801" s="58"/>
      <c r="H1801" s="2"/>
      <c r="I1801" s="2"/>
      <c r="J1801" s="2"/>
      <c r="K1801" s="1"/>
    </row>
    <row r="1802" spans="1:11" ht="15.75" customHeight="1">
      <c r="A1802" s="52"/>
      <c r="B1802" s="52"/>
      <c r="C1802" s="52"/>
      <c r="D1802" s="52"/>
      <c r="E1802" s="52"/>
      <c r="F1802" s="52"/>
      <c r="G1802" s="58"/>
      <c r="H1802" s="2"/>
      <c r="I1802" s="2"/>
      <c r="J1802" s="2"/>
      <c r="K1802" s="1"/>
    </row>
    <row r="1803" spans="1:11" ht="15.75" customHeight="1">
      <c r="A1803" s="52"/>
      <c r="B1803" s="52"/>
      <c r="C1803" s="52"/>
      <c r="D1803" s="52"/>
      <c r="E1803" s="52"/>
      <c r="F1803" s="52"/>
      <c r="G1803" s="58"/>
      <c r="H1803" s="2"/>
      <c r="I1803" s="2"/>
      <c r="J1803" s="2"/>
      <c r="K1803" s="1"/>
    </row>
    <row r="1804" spans="1:11" ht="15.75" customHeight="1">
      <c r="A1804" s="52"/>
      <c r="B1804" s="52"/>
      <c r="C1804" s="52"/>
      <c r="D1804" s="52"/>
      <c r="E1804" s="52"/>
      <c r="F1804" s="52"/>
      <c r="G1804" s="58"/>
      <c r="H1804" s="2"/>
      <c r="I1804" s="2"/>
      <c r="J1804" s="2"/>
      <c r="K1804" s="1"/>
    </row>
    <row r="1805" spans="1:11" ht="15.75" customHeight="1">
      <c r="A1805" s="52"/>
      <c r="B1805" s="52"/>
      <c r="C1805" s="52"/>
      <c r="D1805" s="52"/>
      <c r="E1805" s="52"/>
      <c r="F1805" s="52"/>
      <c r="G1805" s="58"/>
      <c r="H1805" s="2"/>
      <c r="I1805" s="2"/>
      <c r="J1805" s="2"/>
      <c r="K1805" s="1"/>
    </row>
    <row r="1806" spans="1:11" ht="15.75" customHeight="1">
      <c r="A1806" s="52"/>
      <c r="B1806" s="52"/>
      <c r="C1806" s="52"/>
      <c r="D1806" s="52"/>
      <c r="E1806" s="52"/>
      <c r="F1806" s="52"/>
      <c r="G1806" s="58"/>
      <c r="H1806" s="2"/>
      <c r="I1806" s="2"/>
      <c r="J1806" s="2"/>
      <c r="K1806" s="1"/>
    </row>
    <row r="1807" spans="1:11" ht="15.75" customHeight="1">
      <c r="A1807" s="52"/>
      <c r="B1807" s="52"/>
      <c r="C1807" s="52"/>
      <c r="D1807" s="52"/>
      <c r="E1807" s="52"/>
      <c r="F1807" s="52"/>
      <c r="G1807" s="58"/>
      <c r="H1807" s="2"/>
      <c r="I1807" s="2"/>
      <c r="J1807" s="2"/>
      <c r="K1807" s="1"/>
    </row>
    <row r="1808" spans="1:11" ht="15.75" customHeight="1">
      <c r="A1808" s="52"/>
      <c r="B1808" s="52"/>
      <c r="C1808" s="52"/>
      <c r="D1808" s="52"/>
      <c r="E1808" s="52"/>
      <c r="F1808" s="52"/>
      <c r="G1808" s="58"/>
      <c r="H1808" s="2"/>
      <c r="I1808" s="2"/>
      <c r="J1808" s="2"/>
      <c r="K1808" s="1"/>
    </row>
    <row r="1809" spans="1:11" ht="15.75" customHeight="1">
      <c r="A1809" s="52"/>
      <c r="B1809" s="52"/>
      <c r="C1809" s="52"/>
      <c r="D1809" s="52"/>
      <c r="E1809" s="52"/>
      <c r="F1809" s="52"/>
      <c r="G1809" s="58"/>
      <c r="H1809" s="2"/>
      <c r="I1809" s="2"/>
      <c r="J1809" s="2"/>
      <c r="K1809" s="1"/>
    </row>
    <row r="1810" spans="1:11" ht="15.75" customHeight="1">
      <c r="A1810" s="52"/>
      <c r="B1810" s="52"/>
      <c r="C1810" s="52"/>
      <c r="D1810" s="52"/>
      <c r="E1810" s="52"/>
      <c r="F1810" s="52"/>
      <c r="G1810" s="58"/>
      <c r="H1810" s="2"/>
      <c r="I1810" s="2"/>
      <c r="J1810" s="2"/>
      <c r="K1810" s="1"/>
    </row>
    <row r="1811" spans="1:11" ht="15.75" customHeight="1">
      <c r="A1811" s="52"/>
      <c r="B1811" s="52"/>
      <c r="C1811" s="52"/>
      <c r="D1811" s="52"/>
      <c r="E1811" s="52"/>
      <c r="F1811" s="52"/>
      <c r="G1811" s="58"/>
      <c r="H1811" s="2"/>
      <c r="I1811" s="2"/>
      <c r="J1811" s="2"/>
      <c r="K1811" s="1"/>
    </row>
    <row r="1812" spans="1:11" ht="15.75" customHeight="1">
      <c r="A1812" s="52"/>
      <c r="B1812" s="52"/>
      <c r="C1812" s="52"/>
      <c r="D1812" s="52"/>
      <c r="E1812" s="52"/>
      <c r="F1812" s="52"/>
      <c r="G1812" s="58"/>
      <c r="H1812" s="2"/>
      <c r="I1812" s="2"/>
      <c r="J1812" s="2"/>
      <c r="K1812" s="1"/>
    </row>
    <row r="1813" spans="1:11" ht="15.75" customHeight="1">
      <c r="A1813" s="52"/>
      <c r="B1813" s="52"/>
      <c r="C1813" s="52"/>
      <c r="D1813" s="52"/>
      <c r="E1813" s="52"/>
      <c r="F1813" s="52"/>
      <c r="G1813" s="58"/>
      <c r="H1813" s="2"/>
      <c r="I1813" s="2"/>
      <c r="J1813" s="2"/>
      <c r="K1813" s="1"/>
    </row>
    <row r="1814" spans="1:11" ht="15.75" customHeight="1">
      <c r="A1814" s="52"/>
      <c r="B1814" s="52"/>
      <c r="C1814" s="52"/>
      <c r="D1814" s="52"/>
      <c r="E1814" s="52"/>
      <c r="F1814" s="52"/>
      <c r="G1814" s="58"/>
      <c r="H1814" s="2"/>
      <c r="I1814" s="2"/>
      <c r="J1814" s="2"/>
      <c r="K1814" s="1"/>
    </row>
    <row r="1815" spans="1:11" ht="15.75" customHeight="1">
      <c r="A1815" s="52"/>
      <c r="B1815" s="52"/>
      <c r="C1815" s="52"/>
      <c r="D1815" s="52"/>
      <c r="E1815" s="52"/>
      <c r="F1815" s="52"/>
      <c r="G1815" s="58"/>
      <c r="H1815" s="2"/>
      <c r="I1815" s="2"/>
      <c r="J1815" s="2"/>
      <c r="K1815" s="1"/>
    </row>
    <row r="1816" spans="1:11" ht="15.75" customHeight="1">
      <c r="A1816" s="52"/>
      <c r="B1816" s="52"/>
      <c r="C1816" s="52"/>
      <c r="D1816" s="52"/>
      <c r="E1816" s="52"/>
      <c r="F1816" s="52"/>
      <c r="G1816" s="58"/>
      <c r="H1816" s="2"/>
      <c r="I1816" s="2"/>
      <c r="J1816" s="2"/>
      <c r="K1816" s="1"/>
    </row>
    <row r="1817" spans="1:11" ht="15.75" customHeight="1">
      <c r="A1817" s="52"/>
      <c r="B1817" s="52"/>
      <c r="C1817" s="52"/>
      <c r="D1817" s="52"/>
      <c r="E1817" s="52"/>
      <c r="F1817" s="52"/>
      <c r="G1817" s="58"/>
      <c r="H1817" s="2"/>
      <c r="I1817" s="2"/>
      <c r="J1817" s="2"/>
      <c r="K1817" s="1"/>
    </row>
    <row r="1818" spans="1:11" ht="15.75" customHeight="1">
      <c r="A1818" s="52"/>
      <c r="B1818" s="52"/>
      <c r="C1818" s="52"/>
      <c r="D1818" s="52"/>
      <c r="E1818" s="52"/>
      <c r="F1818" s="52"/>
      <c r="G1818" s="58"/>
      <c r="H1818" s="2"/>
      <c r="I1818" s="2"/>
      <c r="J1818" s="2"/>
      <c r="K1818" s="1"/>
    </row>
    <row r="1819" spans="1:11" ht="15.75" customHeight="1">
      <c r="A1819" s="69"/>
      <c r="B1819" s="69"/>
      <c r="C1819" s="69"/>
      <c r="D1819" s="69"/>
      <c r="E1819" s="69"/>
      <c r="F1819" s="69"/>
      <c r="G1819" s="58"/>
      <c r="H1819" s="2"/>
      <c r="I1819" s="2"/>
      <c r="J1819" s="2"/>
      <c r="K1819" s="1"/>
    </row>
    <row r="1820" spans="1:11" ht="15.75" customHeight="1">
      <c r="A1820" s="69"/>
      <c r="B1820" s="69"/>
      <c r="C1820" s="69"/>
      <c r="D1820" s="69"/>
      <c r="E1820" s="69"/>
      <c r="F1820" s="69"/>
      <c r="G1820" s="58"/>
      <c r="H1820" s="2"/>
      <c r="I1820" s="2"/>
      <c r="J1820" s="2"/>
      <c r="K1820" s="1"/>
    </row>
    <row r="1821" spans="1:11" ht="15.75" customHeight="1">
      <c r="A1821" s="69"/>
      <c r="B1821" s="69"/>
      <c r="C1821" s="69"/>
      <c r="D1821" s="69"/>
      <c r="E1821" s="69"/>
      <c r="F1821" s="69"/>
      <c r="G1821" s="58"/>
      <c r="H1821" s="2"/>
      <c r="I1821" s="2"/>
      <c r="J1821" s="2"/>
      <c r="K1821" s="1"/>
    </row>
    <row r="1822" spans="1:11" ht="15.75" customHeight="1">
      <c r="A1822" s="69"/>
      <c r="B1822" s="69"/>
      <c r="C1822" s="69"/>
      <c r="D1822" s="69"/>
      <c r="E1822" s="69"/>
      <c r="F1822" s="69"/>
      <c r="G1822" s="58"/>
      <c r="H1822" s="2"/>
      <c r="I1822" s="2"/>
      <c r="J1822" s="2"/>
      <c r="K1822" s="1"/>
    </row>
    <row r="1823" spans="1:11" ht="15.75" customHeight="1">
      <c r="A1823" s="69"/>
      <c r="B1823" s="69"/>
      <c r="C1823" s="69"/>
      <c r="D1823" s="69"/>
      <c r="E1823" s="69"/>
      <c r="F1823" s="69"/>
      <c r="G1823" s="58"/>
      <c r="H1823" s="2"/>
      <c r="I1823" s="2"/>
      <c r="J1823" s="2"/>
      <c r="K1823" s="1"/>
    </row>
    <row r="1824" spans="1:11" ht="15.75" customHeight="1">
      <c r="A1824" s="69"/>
      <c r="B1824" s="69"/>
      <c r="C1824" s="69"/>
      <c r="D1824" s="69"/>
      <c r="E1824" s="69"/>
      <c r="F1824" s="69"/>
      <c r="G1824" s="58"/>
      <c r="H1824" s="2"/>
      <c r="I1824" s="2"/>
      <c r="J1824" s="2"/>
      <c r="K1824" s="1"/>
    </row>
    <row r="1825" spans="1:11" ht="15.75" customHeight="1">
      <c r="A1825" s="69"/>
      <c r="B1825" s="69"/>
      <c r="C1825" s="69"/>
      <c r="D1825" s="69"/>
      <c r="E1825" s="69"/>
      <c r="F1825" s="69"/>
      <c r="G1825" s="58"/>
      <c r="H1825" s="2"/>
      <c r="I1825" s="2"/>
      <c r="J1825" s="2"/>
      <c r="K1825" s="1"/>
    </row>
    <row r="1826" spans="1:11" ht="15.75" customHeight="1">
      <c r="A1826" s="69"/>
      <c r="B1826" s="69"/>
      <c r="C1826" s="69"/>
      <c r="D1826" s="69"/>
      <c r="E1826" s="69"/>
      <c r="F1826" s="69"/>
      <c r="G1826" s="58"/>
      <c r="H1826" s="2"/>
      <c r="I1826" s="2"/>
      <c r="J1826" s="2"/>
      <c r="K1826" s="1"/>
    </row>
    <row r="1827" spans="1:11" ht="15.75" customHeight="1">
      <c r="A1827" s="69"/>
      <c r="B1827" s="69"/>
      <c r="C1827" s="69"/>
      <c r="D1827" s="69"/>
      <c r="E1827" s="69"/>
      <c r="F1827" s="69"/>
      <c r="G1827" s="58"/>
      <c r="H1827" s="2"/>
      <c r="I1827" s="2"/>
      <c r="J1827" s="2"/>
      <c r="K1827" s="1"/>
    </row>
    <row r="1828" spans="1:11" ht="15.75" customHeight="1">
      <c r="A1828" s="69"/>
      <c r="B1828" s="69"/>
      <c r="C1828" s="69"/>
      <c r="D1828" s="69"/>
      <c r="E1828" s="69"/>
      <c r="F1828" s="69"/>
      <c r="G1828" s="58"/>
      <c r="H1828" s="2"/>
      <c r="I1828" s="2"/>
      <c r="J1828" s="2"/>
      <c r="K1828" s="1"/>
    </row>
    <row r="1829" spans="1:11" ht="15.75" customHeight="1">
      <c r="A1829" s="69"/>
      <c r="B1829" s="69"/>
      <c r="C1829" s="69"/>
      <c r="D1829" s="69"/>
      <c r="E1829" s="69"/>
      <c r="F1829" s="69"/>
      <c r="G1829" s="58"/>
      <c r="H1829" s="2"/>
      <c r="I1829" s="2"/>
      <c r="J1829" s="2"/>
      <c r="K1829" s="1"/>
    </row>
    <row r="1830" spans="1:11" ht="15.75" customHeight="1">
      <c r="A1830" s="69"/>
      <c r="B1830" s="69"/>
      <c r="C1830" s="69"/>
      <c r="D1830" s="69"/>
      <c r="E1830" s="69"/>
      <c r="F1830" s="69"/>
      <c r="G1830" s="58"/>
      <c r="H1830" s="2"/>
      <c r="I1830" s="2"/>
      <c r="J1830" s="2"/>
      <c r="K1830" s="1"/>
    </row>
    <row r="1831" spans="1:11" ht="15.75" customHeight="1">
      <c r="A1831" s="69"/>
      <c r="B1831" s="69"/>
      <c r="C1831" s="69"/>
      <c r="D1831" s="69"/>
      <c r="E1831" s="69"/>
      <c r="F1831" s="69"/>
      <c r="G1831" s="58"/>
      <c r="H1831" s="2"/>
      <c r="I1831" s="2"/>
      <c r="J1831" s="2"/>
      <c r="K1831" s="1"/>
    </row>
    <row r="1832" spans="1:11" ht="15.75" customHeight="1">
      <c r="A1832" s="69"/>
      <c r="B1832" s="69"/>
      <c r="C1832" s="69"/>
      <c r="D1832" s="69"/>
      <c r="E1832" s="69"/>
      <c r="F1832" s="69"/>
      <c r="G1832" s="58"/>
      <c r="H1832" s="2"/>
      <c r="I1832" s="2"/>
      <c r="J1832" s="2"/>
      <c r="K1832" s="1"/>
    </row>
    <row r="1833" spans="1:11" ht="15.75" customHeight="1">
      <c r="A1833" s="69"/>
      <c r="B1833" s="69"/>
      <c r="C1833" s="69"/>
      <c r="D1833" s="69"/>
      <c r="E1833" s="69"/>
      <c r="F1833" s="69"/>
      <c r="G1833" s="58"/>
      <c r="H1833" s="2"/>
      <c r="I1833" s="2"/>
      <c r="J1833" s="2"/>
      <c r="K1833" s="1"/>
    </row>
    <row r="1834" spans="1:11" ht="15.75" customHeight="1">
      <c r="A1834" s="69"/>
      <c r="B1834" s="69"/>
      <c r="C1834" s="69"/>
      <c r="D1834" s="69"/>
      <c r="E1834" s="69"/>
      <c r="F1834" s="69"/>
      <c r="G1834" s="58"/>
      <c r="H1834" s="2"/>
      <c r="I1834" s="2"/>
      <c r="J1834" s="2"/>
      <c r="K1834" s="1"/>
    </row>
    <row r="1835" spans="1:11" ht="15.75" customHeight="1">
      <c r="A1835" s="69"/>
      <c r="B1835" s="69"/>
      <c r="C1835" s="69"/>
      <c r="D1835" s="69"/>
      <c r="E1835" s="69"/>
      <c r="F1835" s="69"/>
      <c r="G1835" s="58"/>
      <c r="H1835" s="2"/>
      <c r="I1835" s="2"/>
      <c r="J1835" s="2"/>
      <c r="K1835" s="1"/>
    </row>
    <row r="1836" spans="1:11" ht="15.75" customHeight="1">
      <c r="A1836" s="69"/>
      <c r="B1836" s="69"/>
      <c r="C1836" s="69"/>
      <c r="D1836" s="69"/>
      <c r="E1836" s="69"/>
      <c r="F1836" s="69"/>
      <c r="G1836" s="58"/>
      <c r="H1836" s="2"/>
      <c r="I1836" s="2"/>
      <c r="J1836" s="2"/>
      <c r="K1836" s="1"/>
    </row>
    <row r="1837" spans="1:11" ht="15.75" customHeight="1">
      <c r="A1837" s="69"/>
      <c r="B1837" s="69"/>
      <c r="C1837" s="69"/>
      <c r="D1837" s="69"/>
      <c r="E1837" s="69"/>
      <c r="F1837" s="69"/>
      <c r="G1837" s="58"/>
      <c r="H1837" s="2"/>
      <c r="I1837" s="2"/>
      <c r="J1837" s="2"/>
      <c r="K1837" s="1"/>
    </row>
    <row r="1838" spans="1:11" ht="15.75" customHeight="1">
      <c r="A1838" s="69"/>
      <c r="B1838" s="69"/>
      <c r="C1838" s="69"/>
      <c r="D1838" s="69"/>
      <c r="E1838" s="69"/>
      <c r="F1838" s="69"/>
      <c r="G1838" s="58"/>
      <c r="H1838" s="2"/>
      <c r="I1838" s="2"/>
      <c r="J1838" s="2"/>
      <c r="K1838" s="1"/>
    </row>
    <row r="1839" spans="1:11" ht="15.75" customHeight="1">
      <c r="A1839" s="69"/>
      <c r="B1839" s="69"/>
      <c r="C1839" s="69"/>
      <c r="D1839" s="69"/>
      <c r="E1839" s="69"/>
      <c r="F1839" s="69"/>
      <c r="G1839" s="58"/>
      <c r="H1839" s="2"/>
      <c r="I1839" s="2"/>
      <c r="J1839" s="2"/>
      <c r="K1839" s="1"/>
    </row>
    <row r="1840" spans="1:11" ht="15.75" customHeight="1">
      <c r="A1840" s="69"/>
      <c r="B1840" s="69"/>
      <c r="C1840" s="69"/>
      <c r="D1840" s="69"/>
      <c r="E1840" s="69"/>
      <c r="F1840" s="69"/>
      <c r="G1840" s="58"/>
      <c r="H1840" s="2"/>
      <c r="I1840" s="2"/>
      <c r="J1840" s="2"/>
      <c r="K1840" s="1"/>
    </row>
    <row r="1841" spans="1:11" ht="15.75" customHeight="1">
      <c r="A1841" s="69"/>
      <c r="B1841" s="69"/>
      <c r="C1841" s="69"/>
      <c r="D1841" s="69"/>
      <c r="E1841" s="69"/>
      <c r="F1841" s="69"/>
      <c r="G1841" s="58"/>
      <c r="H1841" s="2"/>
      <c r="I1841" s="2"/>
      <c r="J1841" s="2"/>
      <c r="K1841" s="1"/>
    </row>
    <row r="1842" spans="1:11" ht="15.75" customHeight="1">
      <c r="A1842" s="69"/>
      <c r="B1842" s="69"/>
      <c r="C1842" s="69"/>
      <c r="D1842" s="69"/>
      <c r="E1842" s="69"/>
      <c r="F1842" s="69"/>
      <c r="G1842" s="58"/>
      <c r="H1842" s="2"/>
      <c r="I1842" s="2"/>
      <c r="J1842" s="2"/>
      <c r="K1842" s="1"/>
    </row>
    <row r="1843" spans="1:11" ht="15.75" customHeight="1">
      <c r="A1843" s="69"/>
      <c r="B1843" s="69"/>
      <c r="C1843" s="69"/>
      <c r="D1843" s="69"/>
      <c r="E1843" s="69"/>
      <c r="F1843" s="69"/>
      <c r="G1843" s="58"/>
      <c r="H1843" s="2"/>
      <c r="I1843" s="2"/>
      <c r="J1843" s="2"/>
      <c r="K1843" s="1"/>
    </row>
    <row r="1844" spans="1:11" ht="15.75" customHeight="1">
      <c r="A1844" s="69"/>
      <c r="B1844" s="69"/>
      <c r="C1844" s="69"/>
      <c r="D1844" s="69"/>
      <c r="E1844" s="69"/>
      <c r="F1844" s="69"/>
      <c r="G1844" s="58"/>
      <c r="H1844" s="2"/>
      <c r="I1844" s="2"/>
      <c r="J1844" s="2"/>
      <c r="K1844" s="1"/>
    </row>
    <row r="1845" spans="1:11" ht="15.75" customHeight="1">
      <c r="A1845" s="69"/>
      <c r="B1845" s="69"/>
      <c r="C1845" s="69"/>
      <c r="D1845" s="69"/>
      <c r="E1845" s="69"/>
      <c r="F1845" s="69"/>
      <c r="G1845" s="58"/>
      <c r="H1845" s="2"/>
      <c r="I1845" s="2"/>
      <c r="J1845" s="2"/>
      <c r="K1845" s="1"/>
    </row>
    <row r="1846" spans="1:11" ht="15.75" customHeight="1">
      <c r="A1846" s="69"/>
      <c r="B1846" s="69"/>
      <c r="C1846" s="69"/>
      <c r="D1846" s="69"/>
      <c r="E1846" s="69"/>
      <c r="F1846" s="69"/>
      <c r="G1846" s="58"/>
      <c r="H1846" s="2"/>
      <c r="I1846" s="2"/>
      <c r="J1846" s="2"/>
      <c r="K1846" s="1"/>
    </row>
    <row r="1847" spans="1:11" ht="15.75" customHeight="1">
      <c r="A1847" s="69"/>
      <c r="B1847" s="69"/>
      <c r="C1847" s="69"/>
      <c r="D1847" s="69"/>
      <c r="E1847" s="69"/>
      <c r="F1847" s="69"/>
      <c r="G1847" s="58"/>
      <c r="H1847" s="2"/>
      <c r="I1847" s="2"/>
      <c r="J1847" s="2"/>
      <c r="K1847" s="1"/>
    </row>
    <row r="1848" spans="1:11" ht="15.75" customHeight="1">
      <c r="A1848" s="69"/>
      <c r="B1848" s="69"/>
      <c r="C1848" s="69"/>
      <c r="D1848" s="69"/>
      <c r="E1848" s="69"/>
      <c r="F1848" s="69"/>
      <c r="G1848" s="58"/>
      <c r="H1848" s="2"/>
      <c r="I1848" s="2"/>
      <c r="J1848" s="2"/>
      <c r="K1848" s="1"/>
    </row>
    <row r="1849" spans="1:11" ht="15.75" customHeight="1">
      <c r="A1849" s="69"/>
      <c r="B1849" s="69"/>
      <c r="C1849" s="69"/>
      <c r="D1849" s="69"/>
      <c r="E1849" s="69"/>
      <c r="F1849" s="69"/>
      <c r="G1849" s="58"/>
      <c r="H1849" s="2"/>
      <c r="I1849" s="2"/>
      <c r="J1849" s="2"/>
      <c r="K1849" s="1"/>
    </row>
    <row r="1850" spans="1:11" ht="15.75" customHeight="1">
      <c r="A1850" s="69"/>
      <c r="B1850" s="69"/>
      <c r="C1850" s="69"/>
      <c r="D1850" s="69"/>
      <c r="E1850" s="69"/>
      <c r="F1850" s="69"/>
      <c r="G1850" s="58"/>
      <c r="H1850" s="2"/>
      <c r="I1850" s="2"/>
      <c r="J1850" s="2"/>
      <c r="K1850" s="1"/>
    </row>
    <row r="1851" spans="1:11" ht="15.75" customHeight="1">
      <c r="A1851" s="69"/>
      <c r="B1851" s="69"/>
      <c r="C1851" s="69"/>
      <c r="D1851" s="69"/>
      <c r="E1851" s="69"/>
      <c r="F1851" s="69"/>
      <c r="G1851" s="58"/>
      <c r="H1851" s="2"/>
      <c r="I1851" s="2"/>
      <c r="J1851" s="2"/>
      <c r="K1851" s="1"/>
    </row>
    <row r="1852" spans="1:11" ht="15.75" customHeight="1">
      <c r="A1852" s="69"/>
      <c r="B1852" s="69"/>
      <c r="C1852" s="69"/>
      <c r="D1852" s="69"/>
      <c r="E1852" s="69"/>
      <c r="F1852" s="69"/>
      <c r="G1852" s="58"/>
      <c r="H1852" s="2"/>
      <c r="I1852" s="2"/>
      <c r="J1852" s="2"/>
      <c r="K1852" s="1"/>
    </row>
    <row r="1853" spans="1:11" ht="15.75" customHeight="1">
      <c r="A1853" s="69"/>
      <c r="B1853" s="69"/>
      <c r="C1853" s="69"/>
      <c r="D1853" s="69"/>
      <c r="E1853" s="69"/>
      <c r="F1853" s="69"/>
      <c r="G1853" s="58"/>
      <c r="H1853" s="2"/>
      <c r="I1853" s="2"/>
      <c r="J1853" s="2"/>
      <c r="K1853" s="1"/>
    </row>
    <row r="1854" spans="1:11" ht="15.75" customHeight="1">
      <c r="A1854" s="69"/>
      <c r="B1854" s="69"/>
      <c r="C1854" s="69"/>
      <c r="D1854" s="69"/>
      <c r="E1854" s="69"/>
      <c r="F1854" s="69"/>
      <c r="G1854" s="58"/>
      <c r="H1854" s="2"/>
      <c r="I1854" s="2"/>
      <c r="J1854" s="2"/>
      <c r="K1854" s="1"/>
    </row>
    <row r="1855" spans="1:11" ht="15.75" customHeight="1">
      <c r="A1855" s="69"/>
      <c r="B1855" s="69"/>
      <c r="C1855" s="69"/>
      <c r="D1855" s="69"/>
      <c r="E1855" s="69"/>
      <c r="F1855" s="69"/>
      <c r="G1855" s="58"/>
      <c r="H1855" s="2"/>
      <c r="I1855" s="2"/>
      <c r="J1855" s="2"/>
      <c r="K1855" s="1"/>
    </row>
    <row r="1856" spans="1:11" ht="15.75" customHeight="1">
      <c r="A1856" s="69"/>
      <c r="B1856" s="69"/>
      <c r="C1856" s="69"/>
      <c r="D1856" s="69"/>
      <c r="E1856" s="69"/>
      <c r="F1856" s="69"/>
      <c r="G1856" s="58"/>
      <c r="H1856" s="2"/>
      <c r="I1856" s="2"/>
      <c r="J1856" s="2"/>
      <c r="K1856" s="1"/>
    </row>
    <row r="1857" spans="1:11" ht="15.75" customHeight="1">
      <c r="A1857" s="69"/>
      <c r="B1857" s="69"/>
      <c r="C1857" s="69"/>
      <c r="D1857" s="69"/>
      <c r="E1857" s="69"/>
      <c r="F1857" s="69"/>
      <c r="G1857" s="58"/>
      <c r="H1857" s="2"/>
      <c r="I1857" s="2"/>
      <c r="J1857" s="2"/>
      <c r="K1857" s="1"/>
    </row>
    <row r="1858" spans="1:11" ht="15.75" customHeight="1">
      <c r="A1858" s="69"/>
      <c r="B1858" s="69"/>
      <c r="C1858" s="69"/>
      <c r="D1858" s="69"/>
      <c r="E1858" s="69"/>
      <c r="F1858" s="69"/>
      <c r="G1858" s="58"/>
      <c r="H1858" s="2"/>
      <c r="I1858" s="2"/>
      <c r="J1858" s="2"/>
      <c r="K1858" s="1"/>
    </row>
    <row r="1859" spans="1:11" ht="15.75" customHeight="1">
      <c r="A1859" s="69"/>
      <c r="B1859" s="69"/>
      <c r="C1859" s="69"/>
      <c r="D1859" s="69"/>
      <c r="E1859" s="69"/>
      <c r="F1859" s="69"/>
      <c r="G1859" s="58"/>
      <c r="H1859" s="2"/>
      <c r="I1859" s="2"/>
      <c r="J1859" s="2"/>
      <c r="K1859" s="1"/>
    </row>
    <row r="1860" spans="1:11" ht="15.75" customHeight="1">
      <c r="A1860" s="69"/>
      <c r="B1860" s="69"/>
      <c r="C1860" s="69"/>
      <c r="D1860" s="69"/>
      <c r="E1860" s="69"/>
      <c r="F1860" s="69"/>
      <c r="G1860" s="58"/>
      <c r="H1860" s="2"/>
      <c r="I1860" s="2"/>
      <c r="J1860" s="2"/>
      <c r="K1860" s="1"/>
    </row>
    <row r="1861" spans="1:11" ht="15.75" customHeight="1">
      <c r="A1861" s="69"/>
      <c r="B1861" s="69"/>
      <c r="C1861" s="69"/>
      <c r="D1861" s="69"/>
      <c r="E1861" s="69"/>
      <c r="F1861" s="69"/>
      <c r="G1861" s="58"/>
      <c r="H1861" s="2"/>
      <c r="I1861" s="2"/>
      <c r="J1861" s="2"/>
      <c r="K1861" s="1"/>
    </row>
    <row r="1862" spans="1:11" ht="15.75" customHeight="1">
      <c r="A1862" s="69"/>
      <c r="B1862" s="69"/>
      <c r="C1862" s="69"/>
      <c r="D1862" s="69"/>
      <c r="E1862" s="69"/>
      <c r="F1862" s="69"/>
      <c r="G1862" s="58"/>
      <c r="H1862" s="2"/>
      <c r="I1862" s="2"/>
      <c r="J1862" s="2"/>
      <c r="K1862" s="1"/>
    </row>
    <row r="1863" spans="1:11" ht="15.75" customHeight="1">
      <c r="A1863" s="69"/>
      <c r="B1863" s="69"/>
      <c r="C1863" s="69"/>
      <c r="D1863" s="69"/>
      <c r="E1863" s="69"/>
      <c r="F1863" s="69"/>
      <c r="G1863" s="58"/>
      <c r="H1863" s="2"/>
      <c r="I1863" s="2"/>
      <c r="J1863" s="2"/>
      <c r="K1863" s="1"/>
    </row>
    <row r="1864" spans="1:11" ht="15.75" customHeight="1">
      <c r="A1864" s="69"/>
      <c r="B1864" s="69"/>
      <c r="C1864" s="69"/>
      <c r="D1864" s="69"/>
      <c r="E1864" s="69"/>
      <c r="F1864" s="69"/>
      <c r="G1864" s="58"/>
      <c r="H1864" s="2"/>
      <c r="I1864" s="2"/>
      <c r="J1864" s="2"/>
      <c r="K1864" s="1"/>
    </row>
    <row r="1865" spans="1:11" ht="15.75" customHeight="1">
      <c r="A1865" s="69"/>
      <c r="B1865" s="69"/>
      <c r="C1865" s="69"/>
      <c r="D1865" s="69"/>
      <c r="E1865" s="69"/>
      <c r="F1865" s="69"/>
      <c r="G1865" s="58"/>
      <c r="H1865" s="2"/>
      <c r="I1865" s="2"/>
      <c r="J1865" s="2"/>
      <c r="K1865" s="1"/>
    </row>
    <row r="1866" spans="1:11" ht="15.75" customHeight="1">
      <c r="A1866" s="69"/>
      <c r="B1866" s="69"/>
      <c r="C1866" s="69"/>
      <c r="D1866" s="69"/>
      <c r="E1866" s="69"/>
      <c r="F1866" s="69"/>
      <c r="G1866" s="58"/>
      <c r="H1866" s="2"/>
      <c r="I1866" s="2"/>
      <c r="J1866" s="2"/>
      <c r="K1866" s="1"/>
    </row>
    <row r="1867" spans="1:11" ht="15.75" customHeight="1">
      <c r="A1867" s="69"/>
      <c r="B1867" s="69"/>
      <c r="C1867" s="69"/>
      <c r="D1867" s="69"/>
      <c r="E1867" s="69"/>
      <c r="F1867" s="69"/>
      <c r="G1867" s="58"/>
      <c r="H1867" s="2"/>
      <c r="I1867" s="2"/>
      <c r="J1867" s="2"/>
      <c r="K1867" s="1"/>
    </row>
    <row r="1868" spans="1:11" ht="15.75" customHeight="1">
      <c r="A1868" s="69"/>
      <c r="B1868" s="69"/>
      <c r="C1868" s="69"/>
      <c r="D1868" s="69"/>
      <c r="E1868" s="69"/>
      <c r="F1868" s="69"/>
      <c r="G1868" s="58"/>
      <c r="H1868" s="2"/>
      <c r="I1868" s="2"/>
      <c r="J1868" s="2"/>
      <c r="K1868" s="1"/>
    </row>
    <row r="1869" spans="1:11" ht="15.75" customHeight="1">
      <c r="A1869" s="69"/>
      <c r="B1869" s="69"/>
      <c r="C1869" s="69"/>
      <c r="D1869" s="69"/>
      <c r="E1869" s="69"/>
      <c r="F1869" s="69"/>
      <c r="G1869" s="58"/>
      <c r="H1869" s="2"/>
      <c r="I1869" s="2"/>
      <c r="J1869" s="2"/>
      <c r="K1869" s="1"/>
    </row>
    <row r="1870" spans="1:11" ht="15.75" customHeight="1">
      <c r="A1870" s="69"/>
      <c r="B1870" s="69"/>
      <c r="C1870" s="69"/>
      <c r="D1870" s="69"/>
      <c r="E1870" s="69"/>
      <c r="F1870" s="69"/>
      <c r="G1870" s="58"/>
      <c r="H1870" s="2"/>
      <c r="I1870" s="2"/>
      <c r="J1870" s="2"/>
      <c r="K1870" s="1"/>
    </row>
    <row r="1871" spans="1:11" ht="15.75" customHeight="1">
      <c r="A1871" s="69"/>
      <c r="B1871" s="69"/>
      <c r="C1871" s="69"/>
      <c r="D1871" s="69"/>
      <c r="E1871" s="69"/>
      <c r="F1871" s="69"/>
      <c r="G1871" s="58"/>
      <c r="H1871" s="2"/>
      <c r="I1871" s="2"/>
      <c r="J1871" s="2"/>
      <c r="K1871" s="1"/>
    </row>
    <row r="1872" spans="1:11" ht="15.75" customHeight="1">
      <c r="A1872" s="69"/>
      <c r="B1872" s="69"/>
      <c r="C1872" s="69"/>
      <c r="D1872" s="69"/>
      <c r="E1872" s="69"/>
      <c r="F1872" s="69"/>
      <c r="G1872" s="58"/>
      <c r="H1872" s="2"/>
      <c r="I1872" s="2"/>
      <c r="J1872" s="2"/>
      <c r="K1872" s="1"/>
    </row>
    <row r="1873" spans="1:11" ht="15.75" customHeight="1">
      <c r="A1873" s="69"/>
      <c r="B1873" s="69"/>
      <c r="C1873" s="69"/>
      <c r="D1873" s="69"/>
      <c r="E1873" s="69"/>
      <c r="F1873" s="69"/>
      <c r="G1873" s="58"/>
      <c r="H1873" s="2"/>
      <c r="I1873" s="2"/>
      <c r="J1873" s="2"/>
      <c r="K1873" s="1"/>
    </row>
    <row r="1874" spans="1:11" ht="15.75" customHeight="1">
      <c r="A1874" s="69"/>
      <c r="B1874" s="69"/>
      <c r="C1874" s="69"/>
      <c r="D1874" s="69"/>
      <c r="E1874" s="69"/>
      <c r="F1874" s="69"/>
      <c r="G1874" s="58"/>
      <c r="H1874" s="2"/>
      <c r="I1874" s="2"/>
      <c r="J1874" s="2"/>
      <c r="K1874" s="1"/>
    </row>
    <row r="1875" spans="1:11" ht="15.75" customHeight="1">
      <c r="A1875" s="69"/>
      <c r="B1875" s="69"/>
      <c r="C1875" s="69"/>
      <c r="D1875" s="69"/>
      <c r="E1875" s="69"/>
      <c r="F1875" s="69"/>
      <c r="G1875" s="58"/>
      <c r="H1875" s="2"/>
      <c r="I1875" s="2"/>
      <c r="J1875" s="2"/>
      <c r="K1875" s="1"/>
    </row>
    <row r="1876" spans="1:11" ht="15.75" customHeight="1">
      <c r="A1876" s="69"/>
      <c r="B1876" s="69"/>
      <c r="C1876" s="69"/>
      <c r="D1876" s="69"/>
      <c r="E1876" s="69"/>
      <c r="F1876" s="69"/>
      <c r="G1876" s="58"/>
      <c r="H1876" s="2"/>
      <c r="I1876" s="2"/>
      <c r="J1876" s="2"/>
      <c r="K1876" s="1"/>
    </row>
    <row r="1877" spans="1:11" ht="15.75" customHeight="1">
      <c r="A1877" s="69"/>
      <c r="B1877" s="69"/>
      <c r="C1877" s="69"/>
      <c r="D1877" s="69"/>
      <c r="E1877" s="69"/>
      <c r="F1877" s="69"/>
      <c r="G1877" s="58"/>
      <c r="H1877" s="2"/>
      <c r="I1877" s="2"/>
      <c r="J1877" s="2"/>
      <c r="K1877" s="1"/>
    </row>
    <row r="1878" spans="1:11" ht="15.75" customHeight="1">
      <c r="A1878" s="69"/>
      <c r="B1878" s="69"/>
      <c r="C1878" s="69"/>
      <c r="D1878" s="69"/>
      <c r="E1878" s="69"/>
      <c r="F1878" s="69"/>
      <c r="G1878" s="58"/>
      <c r="H1878" s="2"/>
      <c r="I1878" s="2"/>
      <c r="J1878" s="2"/>
      <c r="K1878" s="1"/>
    </row>
    <row r="1879" spans="1:11" ht="15.75" customHeight="1">
      <c r="A1879" s="69"/>
      <c r="B1879" s="69"/>
      <c r="C1879" s="69"/>
      <c r="D1879" s="69"/>
      <c r="E1879" s="69"/>
      <c r="F1879" s="69"/>
      <c r="G1879" s="58"/>
      <c r="H1879" s="2"/>
      <c r="I1879" s="2"/>
      <c r="J1879" s="2"/>
      <c r="K1879" s="1"/>
    </row>
    <row r="1880" spans="1:11" ht="15.75" customHeight="1">
      <c r="A1880" s="69"/>
      <c r="B1880" s="69"/>
      <c r="C1880" s="69"/>
      <c r="D1880" s="69"/>
      <c r="E1880" s="69"/>
      <c r="F1880" s="69"/>
      <c r="G1880" s="58"/>
      <c r="H1880" s="2"/>
      <c r="I1880" s="2"/>
      <c r="J1880" s="2"/>
      <c r="K1880" s="1"/>
    </row>
    <row r="1881" spans="1:11" ht="15.75" customHeight="1">
      <c r="A1881" s="69"/>
      <c r="B1881" s="69"/>
      <c r="C1881" s="69"/>
      <c r="D1881" s="69"/>
      <c r="E1881" s="69"/>
      <c r="F1881" s="69"/>
      <c r="G1881" s="58"/>
      <c r="H1881" s="2"/>
      <c r="I1881" s="2"/>
      <c r="J1881" s="2"/>
      <c r="K1881" s="1"/>
    </row>
    <row r="1882" spans="1:11" ht="15.75" customHeight="1">
      <c r="A1882" s="69"/>
      <c r="B1882" s="69"/>
      <c r="C1882" s="69"/>
      <c r="D1882" s="69"/>
      <c r="E1882" s="69"/>
      <c r="F1882" s="69"/>
      <c r="G1882" s="58"/>
      <c r="H1882" s="2"/>
      <c r="I1882" s="2"/>
      <c r="J1882" s="2"/>
      <c r="K1882" s="1"/>
    </row>
    <row r="1883" spans="1:11" ht="15.75" customHeight="1">
      <c r="A1883" s="69"/>
      <c r="B1883" s="69"/>
      <c r="C1883" s="69"/>
      <c r="D1883" s="69"/>
      <c r="E1883" s="69"/>
      <c r="F1883" s="69"/>
      <c r="G1883" s="58"/>
      <c r="H1883" s="2"/>
      <c r="I1883" s="2"/>
      <c r="J1883" s="2"/>
      <c r="K1883" s="1"/>
    </row>
    <row r="1884" spans="1:11" ht="15.75" customHeight="1">
      <c r="A1884" s="69"/>
      <c r="B1884" s="69"/>
      <c r="C1884" s="69"/>
      <c r="D1884" s="69"/>
      <c r="E1884" s="69"/>
      <c r="F1884" s="69"/>
      <c r="G1884" s="58"/>
      <c r="H1884" s="2"/>
      <c r="I1884" s="2"/>
      <c r="J1884" s="2"/>
      <c r="K1884" s="1"/>
    </row>
    <row r="1885" spans="1:11" ht="15.75" customHeight="1">
      <c r="A1885" s="69"/>
      <c r="B1885" s="69"/>
      <c r="C1885" s="69"/>
      <c r="D1885" s="69"/>
      <c r="E1885" s="69"/>
      <c r="F1885" s="69"/>
      <c r="G1885" s="58"/>
      <c r="H1885" s="2"/>
      <c r="I1885" s="2"/>
      <c r="J1885" s="2"/>
      <c r="K1885" s="1"/>
    </row>
    <row r="1886" spans="1:11" ht="15.75" customHeight="1">
      <c r="A1886" s="69"/>
      <c r="B1886" s="69"/>
      <c r="C1886" s="69"/>
      <c r="D1886" s="69"/>
      <c r="E1886" s="69"/>
      <c r="F1886" s="69"/>
      <c r="G1886" s="58"/>
      <c r="H1886" s="2"/>
      <c r="I1886" s="2"/>
      <c r="J1886" s="2"/>
      <c r="K1886" s="1"/>
    </row>
    <row r="1887" spans="1:11" ht="15.75" customHeight="1">
      <c r="A1887" s="69"/>
      <c r="B1887" s="69"/>
      <c r="C1887" s="69"/>
      <c r="D1887" s="69"/>
      <c r="E1887" s="69"/>
      <c r="F1887" s="69"/>
      <c r="G1887" s="58"/>
      <c r="H1887" s="2"/>
      <c r="I1887" s="2"/>
      <c r="J1887" s="2"/>
      <c r="K1887" s="1"/>
    </row>
    <row r="1888" spans="1:11" ht="15.75" customHeight="1">
      <c r="A1888" s="69"/>
      <c r="B1888" s="69"/>
      <c r="C1888" s="69"/>
      <c r="D1888" s="69"/>
      <c r="E1888" s="69"/>
      <c r="F1888" s="69"/>
      <c r="G1888" s="58"/>
      <c r="H1888" s="2"/>
      <c r="I1888" s="2"/>
      <c r="J1888" s="2"/>
      <c r="K1888" s="1"/>
    </row>
    <row r="1889" spans="1:11" ht="15.75" customHeight="1">
      <c r="A1889" s="69"/>
      <c r="B1889" s="69"/>
      <c r="C1889" s="69"/>
      <c r="D1889" s="69"/>
      <c r="E1889" s="69"/>
      <c r="F1889" s="69"/>
      <c r="G1889" s="58"/>
      <c r="H1889" s="2"/>
      <c r="I1889" s="2"/>
      <c r="J1889" s="2"/>
      <c r="K1889" s="1"/>
    </row>
    <row r="1890" spans="1:11" ht="15.75" customHeight="1">
      <c r="A1890" s="69"/>
      <c r="B1890" s="69"/>
      <c r="C1890" s="69"/>
      <c r="D1890" s="69"/>
      <c r="E1890" s="69"/>
      <c r="F1890" s="69"/>
      <c r="G1890" s="58"/>
      <c r="H1890" s="2"/>
      <c r="I1890" s="2"/>
      <c r="J1890" s="2"/>
      <c r="K1890" s="1"/>
    </row>
    <row r="1891" spans="1:11" ht="15.75" customHeight="1">
      <c r="A1891" s="69"/>
      <c r="B1891" s="69"/>
      <c r="C1891" s="69"/>
      <c r="D1891" s="69"/>
      <c r="E1891" s="69"/>
      <c r="F1891" s="69"/>
      <c r="G1891" s="58"/>
      <c r="H1891" s="2"/>
      <c r="I1891" s="2"/>
      <c r="J1891" s="2"/>
      <c r="K1891" s="1"/>
    </row>
    <row r="1892" spans="1:11" ht="15.75" customHeight="1">
      <c r="A1892" s="69"/>
      <c r="B1892" s="69"/>
      <c r="C1892" s="69"/>
      <c r="D1892" s="69"/>
      <c r="E1892" s="69"/>
      <c r="F1892" s="69"/>
      <c r="G1892" s="58"/>
      <c r="H1892" s="2"/>
      <c r="I1892" s="2"/>
      <c r="J1892" s="2"/>
      <c r="K1892" s="1"/>
    </row>
    <row r="1893" spans="1:11" ht="15.75" customHeight="1">
      <c r="A1893" s="69"/>
      <c r="B1893" s="69"/>
      <c r="C1893" s="69"/>
      <c r="D1893" s="69"/>
      <c r="E1893" s="69"/>
      <c r="F1893" s="69"/>
      <c r="G1893" s="58"/>
      <c r="H1893" s="2"/>
      <c r="I1893" s="2"/>
      <c r="J1893" s="2"/>
      <c r="K1893" s="1"/>
    </row>
    <row r="1894" spans="1:11" ht="15.75" customHeight="1">
      <c r="A1894" s="69"/>
      <c r="B1894" s="69"/>
      <c r="C1894" s="69"/>
      <c r="D1894" s="69"/>
      <c r="E1894" s="69"/>
      <c r="F1894" s="69"/>
      <c r="G1894" s="58"/>
      <c r="H1894" s="2"/>
      <c r="I1894" s="2"/>
      <c r="J1894" s="2"/>
      <c r="K1894" s="1"/>
    </row>
    <row r="1895" spans="1:11" ht="15.75" customHeight="1">
      <c r="A1895" s="69"/>
      <c r="B1895" s="69"/>
      <c r="C1895" s="69"/>
      <c r="D1895" s="69"/>
      <c r="E1895" s="69"/>
      <c r="F1895" s="69"/>
      <c r="G1895" s="58"/>
      <c r="H1895" s="2"/>
      <c r="I1895" s="2"/>
      <c r="J1895" s="2"/>
      <c r="K1895" s="1"/>
    </row>
    <row r="1896" spans="1:11" ht="15.75" customHeight="1">
      <c r="A1896" s="69"/>
      <c r="B1896" s="69"/>
      <c r="C1896" s="69"/>
      <c r="D1896" s="69"/>
      <c r="E1896" s="69"/>
      <c r="F1896" s="69"/>
      <c r="G1896" s="58"/>
      <c r="H1896" s="2"/>
      <c r="I1896" s="2"/>
      <c r="J1896" s="2"/>
      <c r="K1896" s="1"/>
    </row>
    <row r="1897" spans="1:11" ht="15.75" customHeight="1">
      <c r="A1897" s="69"/>
      <c r="B1897" s="69"/>
      <c r="C1897" s="69"/>
      <c r="D1897" s="69"/>
      <c r="E1897" s="69"/>
      <c r="F1897" s="69"/>
      <c r="G1897" s="58"/>
      <c r="H1897" s="2"/>
      <c r="I1897" s="2"/>
      <c r="J1897" s="2"/>
      <c r="K1897" s="1"/>
    </row>
    <row r="1898" spans="1:11" ht="15.75" customHeight="1">
      <c r="A1898" s="69"/>
      <c r="B1898" s="69"/>
      <c r="C1898" s="69"/>
      <c r="D1898" s="69"/>
      <c r="E1898" s="69"/>
      <c r="F1898" s="69"/>
      <c r="G1898" s="58"/>
      <c r="H1898" s="2"/>
      <c r="I1898" s="2"/>
      <c r="J1898" s="2"/>
      <c r="K1898" s="1"/>
    </row>
    <row r="1899" spans="1:11" ht="15.75" customHeight="1">
      <c r="A1899" s="69"/>
      <c r="B1899" s="69"/>
      <c r="C1899" s="69"/>
      <c r="D1899" s="69"/>
      <c r="E1899" s="69"/>
      <c r="F1899" s="69"/>
      <c r="G1899" s="58"/>
      <c r="H1899" s="2"/>
      <c r="I1899" s="2"/>
      <c r="J1899" s="2"/>
      <c r="K1899" s="1"/>
    </row>
    <row r="1900" spans="1:11" ht="15.75" customHeight="1">
      <c r="A1900" s="69"/>
      <c r="B1900" s="69"/>
      <c r="C1900" s="69"/>
      <c r="D1900" s="69"/>
      <c r="E1900" s="69"/>
      <c r="F1900" s="69"/>
      <c r="G1900" s="58"/>
      <c r="H1900" s="2"/>
      <c r="I1900" s="2"/>
      <c r="J1900" s="2"/>
      <c r="K1900" s="1"/>
    </row>
    <row r="1901" spans="1:11" ht="15.75" customHeight="1">
      <c r="A1901" s="69"/>
      <c r="B1901" s="69"/>
      <c r="C1901" s="69"/>
      <c r="D1901" s="69"/>
      <c r="E1901" s="69"/>
      <c r="F1901" s="69"/>
      <c r="G1901" s="58"/>
      <c r="H1901" s="2"/>
      <c r="I1901" s="2"/>
      <c r="J1901" s="2"/>
      <c r="K1901" s="1"/>
    </row>
    <row r="1902" spans="1:11" ht="15.75" customHeight="1">
      <c r="A1902" s="69"/>
      <c r="B1902" s="69"/>
      <c r="C1902" s="69"/>
      <c r="D1902" s="69"/>
      <c r="E1902" s="69"/>
      <c r="F1902" s="69"/>
      <c r="G1902" s="58"/>
      <c r="H1902" s="2"/>
      <c r="I1902" s="2"/>
      <c r="J1902" s="2"/>
      <c r="K1902" s="1"/>
    </row>
    <row r="1903" spans="1:11" ht="15.75" customHeight="1">
      <c r="A1903" s="69"/>
      <c r="B1903" s="69"/>
      <c r="C1903" s="69"/>
      <c r="D1903" s="69"/>
      <c r="E1903" s="69"/>
      <c r="F1903" s="69"/>
      <c r="G1903" s="58"/>
      <c r="H1903" s="2"/>
      <c r="I1903" s="2"/>
      <c r="J1903" s="2"/>
      <c r="K1903" s="1"/>
    </row>
    <row r="1904" spans="1:11" ht="15.75" customHeight="1">
      <c r="A1904" s="69"/>
      <c r="B1904" s="69"/>
      <c r="C1904" s="69"/>
      <c r="D1904" s="69"/>
      <c r="E1904" s="69"/>
      <c r="F1904" s="69"/>
      <c r="G1904" s="58"/>
      <c r="H1904" s="2"/>
      <c r="I1904" s="2"/>
      <c r="J1904" s="2"/>
      <c r="K1904" s="1"/>
    </row>
    <row r="1905" spans="1:11" ht="15.75" customHeight="1">
      <c r="A1905" s="69"/>
      <c r="B1905" s="69"/>
      <c r="C1905" s="69"/>
      <c r="D1905" s="69"/>
      <c r="E1905" s="69"/>
      <c r="F1905" s="69"/>
      <c r="G1905" s="58"/>
      <c r="H1905" s="2"/>
      <c r="I1905" s="2"/>
      <c r="J1905" s="2"/>
      <c r="K1905" s="1"/>
    </row>
    <row r="1906" spans="1:11" ht="15.75" customHeight="1">
      <c r="A1906" s="69"/>
      <c r="B1906" s="69"/>
      <c r="C1906" s="69"/>
      <c r="D1906" s="69"/>
      <c r="E1906" s="69"/>
      <c r="F1906" s="69"/>
      <c r="G1906" s="58"/>
      <c r="H1906" s="2"/>
      <c r="I1906" s="2"/>
      <c r="J1906" s="2"/>
      <c r="K1906" s="1"/>
    </row>
    <row r="1907" spans="1:11" ht="15.75" customHeight="1">
      <c r="A1907" s="69"/>
      <c r="B1907" s="69"/>
      <c r="C1907" s="69"/>
      <c r="D1907" s="69"/>
      <c r="E1907" s="69"/>
      <c r="F1907" s="69"/>
      <c r="G1907" s="58"/>
      <c r="H1907" s="2"/>
      <c r="I1907" s="2"/>
      <c r="J1907" s="2"/>
      <c r="K1907" s="1"/>
    </row>
    <row r="1908" spans="1:11" ht="15.75" customHeight="1">
      <c r="A1908" s="69"/>
      <c r="B1908" s="69"/>
      <c r="C1908" s="69"/>
      <c r="D1908" s="69"/>
      <c r="E1908" s="69"/>
      <c r="F1908" s="69"/>
      <c r="G1908" s="58"/>
      <c r="H1908" s="2"/>
      <c r="I1908" s="2"/>
      <c r="J1908" s="2"/>
      <c r="K1908" s="1"/>
    </row>
    <row r="1909" spans="1:11" ht="15.75" customHeight="1">
      <c r="A1909" s="69"/>
      <c r="B1909" s="69"/>
      <c r="C1909" s="69"/>
      <c r="D1909" s="69"/>
      <c r="E1909" s="69"/>
      <c r="F1909" s="69"/>
      <c r="G1909" s="58"/>
      <c r="H1909" s="2"/>
      <c r="I1909" s="2"/>
      <c r="J1909" s="2"/>
      <c r="K1909" s="1"/>
    </row>
    <row r="1910" spans="1:11" ht="15.75" customHeight="1">
      <c r="A1910" s="69"/>
      <c r="B1910" s="69"/>
      <c r="C1910" s="69"/>
      <c r="D1910" s="69"/>
      <c r="E1910" s="69"/>
      <c r="F1910" s="69"/>
      <c r="G1910" s="58"/>
      <c r="H1910" s="2"/>
      <c r="I1910" s="2"/>
      <c r="J1910" s="2"/>
      <c r="K1910" s="1"/>
    </row>
    <row r="1911" spans="1:11" ht="15.75" customHeight="1">
      <c r="A1911" s="69"/>
      <c r="B1911" s="69"/>
      <c r="C1911" s="69"/>
      <c r="D1911" s="69"/>
      <c r="E1911" s="69"/>
      <c r="F1911" s="69"/>
      <c r="G1911" s="58"/>
      <c r="H1911" s="2"/>
      <c r="I1911" s="2"/>
      <c r="J1911" s="2"/>
      <c r="K1911" s="1"/>
    </row>
    <row r="1912" spans="1:11" ht="15.75" customHeight="1">
      <c r="A1912" s="69"/>
      <c r="B1912" s="69"/>
      <c r="C1912" s="69"/>
      <c r="D1912" s="69"/>
      <c r="E1912" s="69"/>
      <c r="F1912" s="69"/>
      <c r="G1912" s="58"/>
      <c r="H1912" s="2"/>
      <c r="I1912" s="2"/>
      <c r="J1912" s="2"/>
      <c r="K1912" s="1"/>
    </row>
    <row r="1913" spans="1:11" ht="15.75" customHeight="1">
      <c r="A1913" s="69"/>
      <c r="B1913" s="69"/>
      <c r="C1913" s="69"/>
      <c r="D1913" s="69"/>
      <c r="E1913" s="69"/>
      <c r="F1913" s="69"/>
      <c r="G1913" s="58"/>
      <c r="H1913" s="2"/>
      <c r="I1913" s="2"/>
      <c r="J1913" s="2"/>
      <c r="K1913" s="1"/>
    </row>
    <row r="1914" spans="1:11" ht="15.75" customHeight="1">
      <c r="A1914" s="69"/>
      <c r="B1914" s="69"/>
      <c r="C1914" s="69"/>
      <c r="D1914" s="69"/>
      <c r="E1914" s="69"/>
      <c r="F1914" s="69"/>
      <c r="G1914" s="58"/>
      <c r="H1914" s="2"/>
      <c r="I1914" s="2"/>
      <c r="J1914" s="2"/>
      <c r="K1914" s="1"/>
    </row>
    <row r="1915" spans="1:11" ht="15.75" customHeight="1">
      <c r="A1915" s="69"/>
      <c r="B1915" s="69"/>
      <c r="C1915" s="69"/>
      <c r="D1915" s="69"/>
      <c r="E1915" s="69"/>
      <c r="F1915" s="69"/>
      <c r="G1915" s="58"/>
      <c r="H1915" s="2"/>
      <c r="I1915" s="2"/>
      <c r="J1915" s="2"/>
      <c r="K1915" s="1"/>
    </row>
    <row r="1916" spans="1:11" ht="15.75" customHeight="1">
      <c r="A1916" s="69"/>
      <c r="B1916" s="69"/>
      <c r="C1916" s="69"/>
      <c r="D1916" s="69"/>
      <c r="E1916" s="69"/>
      <c r="F1916" s="69"/>
      <c r="G1916" s="58"/>
      <c r="H1916" s="2"/>
      <c r="I1916" s="2"/>
      <c r="J1916" s="2"/>
      <c r="K1916" s="1"/>
    </row>
    <row r="1917" spans="1:11" ht="15.75" customHeight="1">
      <c r="A1917" s="69"/>
      <c r="B1917" s="69"/>
      <c r="C1917" s="69"/>
      <c r="D1917" s="69"/>
      <c r="E1917" s="69"/>
      <c r="F1917" s="69"/>
      <c r="G1917" s="58"/>
      <c r="H1917" s="2"/>
      <c r="I1917" s="2"/>
      <c r="J1917" s="2"/>
      <c r="K1917" s="1"/>
    </row>
    <row r="1918" spans="1:11" ht="15.75" customHeight="1">
      <c r="A1918" s="69"/>
      <c r="B1918" s="69"/>
      <c r="C1918" s="69"/>
      <c r="D1918" s="69"/>
      <c r="E1918" s="69"/>
      <c r="F1918" s="69"/>
      <c r="G1918" s="58"/>
      <c r="H1918" s="2"/>
      <c r="I1918" s="2"/>
      <c r="J1918" s="2"/>
      <c r="K1918" s="1"/>
    </row>
    <row r="1919" spans="1:11" ht="15.75" customHeight="1">
      <c r="A1919" s="69"/>
      <c r="B1919" s="69"/>
      <c r="C1919" s="69"/>
      <c r="D1919" s="69"/>
      <c r="E1919" s="69"/>
      <c r="F1919" s="69"/>
      <c r="G1919" s="58"/>
      <c r="H1919" s="2"/>
      <c r="I1919" s="2"/>
      <c r="J1919" s="2"/>
      <c r="K1919" s="1"/>
    </row>
    <row r="1920" spans="1:11" ht="15.75" customHeight="1">
      <c r="A1920" s="69"/>
      <c r="B1920" s="69"/>
      <c r="C1920" s="69"/>
      <c r="D1920" s="69"/>
      <c r="E1920" s="69"/>
      <c r="F1920" s="69"/>
      <c r="G1920" s="58"/>
      <c r="H1920" s="2"/>
      <c r="I1920" s="2"/>
      <c r="J1920" s="2"/>
      <c r="K1920" s="1"/>
    </row>
    <row r="1921" spans="1:11" ht="15.75" customHeight="1">
      <c r="A1921" s="69"/>
      <c r="B1921" s="69"/>
      <c r="C1921" s="69"/>
      <c r="D1921" s="69"/>
      <c r="E1921" s="69"/>
      <c r="F1921" s="69"/>
      <c r="G1921" s="58"/>
      <c r="H1921" s="2"/>
      <c r="I1921" s="2"/>
      <c r="J1921" s="2"/>
      <c r="K1921" s="1"/>
    </row>
    <row r="1922" spans="1:11" ht="15.75" customHeight="1">
      <c r="A1922" s="69"/>
      <c r="B1922" s="69"/>
      <c r="C1922" s="69"/>
      <c r="D1922" s="69"/>
      <c r="E1922" s="69"/>
      <c r="F1922" s="69"/>
      <c r="G1922" s="58"/>
      <c r="H1922" s="2"/>
      <c r="I1922" s="2"/>
      <c r="J1922" s="2"/>
      <c r="K1922" s="1"/>
    </row>
    <row r="1923" spans="1:11" ht="15.75" customHeight="1">
      <c r="A1923" s="69"/>
      <c r="B1923" s="69"/>
      <c r="C1923" s="69"/>
      <c r="D1923" s="69"/>
      <c r="E1923" s="69"/>
      <c r="F1923" s="69"/>
      <c r="G1923" s="58"/>
      <c r="H1923" s="2"/>
      <c r="I1923" s="2"/>
      <c r="J1923" s="2"/>
      <c r="K1923" s="1"/>
    </row>
    <row r="1924" spans="1:11" ht="15.75" customHeight="1">
      <c r="A1924" s="69"/>
      <c r="B1924" s="69"/>
      <c r="C1924" s="69"/>
      <c r="D1924" s="69"/>
      <c r="E1924" s="69"/>
      <c r="F1924" s="69"/>
      <c r="G1924" s="58"/>
      <c r="H1924" s="2"/>
      <c r="I1924" s="2"/>
      <c r="J1924" s="2"/>
      <c r="K1924" s="1"/>
    </row>
    <row r="1925" spans="1:11" ht="15.75" customHeight="1">
      <c r="A1925" s="69"/>
      <c r="B1925" s="69"/>
      <c r="C1925" s="69"/>
      <c r="D1925" s="69"/>
      <c r="E1925" s="69"/>
      <c r="F1925" s="69"/>
      <c r="G1925" s="58"/>
      <c r="H1925" s="2"/>
      <c r="I1925" s="2"/>
      <c r="J1925" s="2"/>
      <c r="K1925" s="1"/>
    </row>
    <row r="1926" spans="1:11" ht="15.75" customHeight="1">
      <c r="A1926" s="69"/>
      <c r="B1926" s="69"/>
      <c r="C1926" s="69"/>
      <c r="D1926" s="69"/>
      <c r="E1926" s="69"/>
      <c r="F1926" s="69"/>
      <c r="G1926" s="58"/>
      <c r="H1926" s="2"/>
      <c r="I1926" s="2"/>
      <c r="J1926" s="2"/>
      <c r="K1926" s="1"/>
    </row>
    <row r="1927" spans="1:11" ht="15.75" customHeight="1">
      <c r="A1927" s="69"/>
      <c r="B1927" s="69"/>
      <c r="C1927" s="69"/>
      <c r="D1927" s="69"/>
      <c r="E1927" s="69"/>
      <c r="F1927" s="69"/>
      <c r="G1927" s="58"/>
      <c r="H1927" s="2"/>
      <c r="I1927" s="2"/>
      <c r="J1927" s="2"/>
      <c r="K1927" s="1"/>
    </row>
    <row r="1928" spans="1:11" ht="15.75" customHeight="1">
      <c r="A1928" s="69"/>
      <c r="B1928" s="69"/>
      <c r="C1928" s="69"/>
      <c r="D1928" s="69"/>
      <c r="E1928" s="69"/>
      <c r="F1928" s="69"/>
      <c r="G1928" s="58"/>
      <c r="H1928" s="2"/>
      <c r="I1928" s="2"/>
      <c r="J1928" s="2"/>
      <c r="K1928" s="1"/>
    </row>
    <row r="1929" spans="1:11" ht="15.75" customHeight="1">
      <c r="A1929" s="69"/>
      <c r="B1929" s="69"/>
      <c r="C1929" s="69"/>
      <c r="D1929" s="69"/>
      <c r="E1929" s="69"/>
      <c r="F1929" s="69"/>
      <c r="G1929" s="58"/>
      <c r="H1929" s="2"/>
      <c r="I1929" s="2"/>
      <c r="J1929" s="2"/>
      <c r="K1929" s="1"/>
    </row>
    <row r="1930" spans="1:11" ht="15.75" customHeight="1">
      <c r="A1930" s="69"/>
      <c r="B1930" s="69"/>
      <c r="C1930" s="69"/>
      <c r="D1930" s="69"/>
      <c r="E1930" s="69"/>
      <c r="F1930" s="69"/>
      <c r="G1930" s="58"/>
      <c r="H1930" s="2"/>
      <c r="I1930" s="2"/>
      <c r="J1930" s="2"/>
      <c r="K1930" s="1"/>
    </row>
    <row r="1931" spans="1:11" ht="15.75" customHeight="1">
      <c r="A1931" s="69"/>
      <c r="B1931" s="69"/>
      <c r="C1931" s="69"/>
      <c r="D1931" s="69"/>
      <c r="E1931" s="69"/>
      <c r="F1931" s="69"/>
      <c r="G1931" s="58"/>
      <c r="H1931" s="2"/>
      <c r="I1931" s="2"/>
      <c r="J1931" s="2"/>
      <c r="K1931" s="1"/>
    </row>
    <row r="1932" spans="1:11" ht="15.75" customHeight="1">
      <c r="A1932" s="69"/>
      <c r="B1932" s="69"/>
      <c r="C1932" s="69"/>
      <c r="D1932" s="69"/>
      <c r="E1932" s="69"/>
      <c r="F1932" s="69"/>
      <c r="G1932" s="58"/>
      <c r="H1932" s="2"/>
      <c r="I1932" s="2"/>
      <c r="J1932" s="2"/>
      <c r="K1932" s="1"/>
    </row>
    <row r="1933" spans="1:11" ht="15.75" customHeight="1">
      <c r="A1933" s="69"/>
      <c r="B1933" s="69"/>
      <c r="C1933" s="69"/>
      <c r="D1933" s="69"/>
      <c r="E1933" s="69"/>
      <c r="F1933" s="69"/>
      <c r="G1933" s="58"/>
      <c r="H1933" s="2"/>
      <c r="I1933" s="2"/>
      <c r="J1933" s="2"/>
      <c r="K1933" s="1"/>
    </row>
    <row r="1934" spans="1:11" ht="15.75" customHeight="1">
      <c r="A1934" s="69"/>
      <c r="B1934" s="69"/>
      <c r="C1934" s="69"/>
      <c r="D1934" s="69"/>
      <c r="E1934" s="69"/>
      <c r="F1934" s="69"/>
      <c r="G1934" s="58"/>
      <c r="H1934" s="2"/>
      <c r="I1934" s="2"/>
      <c r="J1934" s="2"/>
      <c r="K1934" s="1"/>
    </row>
    <row r="1935" spans="1:11" ht="15.75" customHeight="1">
      <c r="A1935" s="69"/>
      <c r="B1935" s="69"/>
      <c r="C1935" s="69"/>
      <c r="D1935" s="69"/>
      <c r="E1935" s="69"/>
      <c r="F1935" s="69"/>
      <c r="G1935" s="58"/>
      <c r="H1935" s="2"/>
      <c r="I1935" s="2"/>
      <c r="J1935" s="2"/>
      <c r="K1935" s="1"/>
    </row>
    <row r="1936" spans="1:11" ht="15.75" customHeight="1">
      <c r="A1936" s="69"/>
      <c r="B1936" s="69"/>
      <c r="C1936" s="69"/>
      <c r="D1936" s="69"/>
      <c r="E1936" s="69"/>
      <c r="F1936" s="69"/>
      <c r="G1936" s="58"/>
      <c r="H1936" s="2"/>
      <c r="I1936" s="2"/>
      <c r="J1936" s="2"/>
      <c r="K1936" s="1"/>
    </row>
    <row r="1937" spans="1:11" ht="15.75" customHeight="1">
      <c r="A1937" s="69"/>
      <c r="B1937" s="69"/>
      <c r="C1937" s="69"/>
      <c r="D1937" s="69"/>
      <c r="E1937" s="69"/>
      <c r="F1937" s="69"/>
      <c r="G1937" s="58"/>
      <c r="H1937" s="2"/>
      <c r="I1937" s="2"/>
      <c r="J1937" s="2"/>
      <c r="K1937" s="1"/>
    </row>
    <row r="1938" spans="1:11" ht="15.75" customHeight="1">
      <c r="A1938" s="69"/>
      <c r="B1938" s="69"/>
      <c r="C1938" s="69"/>
      <c r="D1938" s="69"/>
      <c r="E1938" s="69"/>
      <c r="F1938" s="69"/>
      <c r="G1938" s="58"/>
      <c r="H1938" s="2"/>
      <c r="I1938" s="2"/>
      <c r="J1938" s="2"/>
      <c r="K1938" s="1"/>
    </row>
    <row r="1939" spans="1:11" ht="15.75" customHeight="1">
      <c r="A1939" s="69"/>
      <c r="B1939" s="69"/>
      <c r="C1939" s="69"/>
      <c r="D1939" s="69"/>
      <c r="E1939" s="69"/>
      <c r="F1939" s="69"/>
      <c r="G1939" s="58"/>
      <c r="H1939" s="2"/>
      <c r="I1939" s="2"/>
      <c r="J1939" s="2"/>
      <c r="K1939" s="1"/>
    </row>
    <row r="1940" spans="1:11" ht="15.75" customHeight="1">
      <c r="A1940" s="69"/>
      <c r="B1940" s="69"/>
      <c r="C1940" s="69"/>
      <c r="D1940" s="69"/>
      <c r="E1940" s="69"/>
      <c r="F1940" s="69"/>
      <c r="G1940" s="58"/>
      <c r="H1940" s="2"/>
      <c r="I1940" s="2"/>
      <c r="J1940" s="2"/>
      <c r="K1940" s="1"/>
    </row>
    <row r="1941" spans="1:11" ht="15.75" customHeight="1">
      <c r="A1941" s="69"/>
      <c r="B1941" s="69"/>
      <c r="C1941" s="69"/>
      <c r="D1941" s="69"/>
      <c r="E1941" s="69"/>
      <c r="F1941" s="69"/>
      <c r="G1941" s="58"/>
      <c r="H1941" s="2"/>
      <c r="I1941" s="2"/>
      <c r="J1941" s="2"/>
      <c r="K1941" s="1"/>
    </row>
    <row r="1942" spans="1:11" ht="15.75" customHeight="1">
      <c r="A1942" s="69"/>
      <c r="B1942" s="69"/>
      <c r="C1942" s="69"/>
      <c r="D1942" s="69"/>
      <c r="E1942" s="69"/>
      <c r="F1942" s="69"/>
      <c r="G1942" s="58"/>
      <c r="H1942" s="2"/>
      <c r="I1942" s="2"/>
      <c r="J1942" s="2"/>
      <c r="K1942" s="1"/>
    </row>
    <row r="1943" spans="1:11" ht="15.75" customHeight="1">
      <c r="A1943" s="69"/>
      <c r="B1943" s="69"/>
      <c r="C1943" s="69"/>
      <c r="D1943" s="69"/>
      <c r="E1943" s="69"/>
      <c r="F1943" s="69"/>
      <c r="G1943" s="58"/>
      <c r="H1943" s="2"/>
      <c r="I1943" s="2"/>
      <c r="J1943" s="2"/>
      <c r="K1943" s="1"/>
    </row>
    <row r="1944" spans="1:11" ht="15.75" customHeight="1">
      <c r="A1944" s="69"/>
      <c r="B1944" s="69"/>
      <c r="C1944" s="69"/>
      <c r="D1944" s="69"/>
      <c r="E1944" s="69"/>
      <c r="F1944" s="69"/>
      <c r="G1944" s="58"/>
      <c r="H1944" s="2"/>
      <c r="I1944" s="2"/>
      <c r="J1944" s="2"/>
      <c r="K1944" s="1"/>
    </row>
    <row r="1945" spans="1:11" ht="15.75" customHeight="1">
      <c r="A1945" s="69"/>
      <c r="B1945" s="69"/>
      <c r="C1945" s="69"/>
      <c r="D1945" s="69"/>
      <c r="E1945" s="69"/>
      <c r="F1945" s="69"/>
      <c r="G1945" s="58"/>
      <c r="H1945" s="2"/>
      <c r="I1945" s="2"/>
      <c r="J1945" s="2"/>
      <c r="K1945" s="1"/>
    </row>
    <row r="1946" spans="1:11" ht="15.75" customHeight="1">
      <c r="A1946" s="69"/>
      <c r="B1946" s="69"/>
      <c r="C1946" s="69"/>
      <c r="D1946" s="69"/>
      <c r="E1946" s="69"/>
      <c r="F1946" s="69"/>
      <c r="G1946" s="58"/>
      <c r="H1946" s="2"/>
      <c r="I1946" s="2"/>
      <c r="J1946" s="2"/>
      <c r="K1946" s="1"/>
    </row>
    <row r="1947" spans="1:11" ht="15.75" customHeight="1">
      <c r="A1947" s="69"/>
      <c r="B1947" s="69"/>
      <c r="C1947" s="69"/>
      <c r="D1947" s="69"/>
      <c r="E1947" s="69"/>
      <c r="F1947" s="69"/>
      <c r="G1947" s="58"/>
      <c r="H1947" s="2"/>
      <c r="I1947" s="2"/>
      <c r="J1947" s="2"/>
      <c r="K1947" s="1"/>
    </row>
    <row r="1948" spans="1:11" ht="15.75" customHeight="1">
      <c r="A1948" s="69"/>
      <c r="B1948" s="69"/>
      <c r="C1948" s="69"/>
      <c r="D1948" s="69"/>
      <c r="E1948" s="69"/>
      <c r="F1948" s="69"/>
      <c r="G1948" s="58"/>
      <c r="H1948" s="2"/>
      <c r="I1948" s="2"/>
      <c r="J1948" s="2"/>
      <c r="K1948" s="1"/>
    </row>
    <row r="1949" spans="1:11" ht="15.75" customHeight="1">
      <c r="A1949" s="69"/>
      <c r="B1949" s="69"/>
      <c r="C1949" s="69"/>
      <c r="D1949" s="69"/>
      <c r="E1949" s="69"/>
      <c r="F1949" s="69"/>
      <c r="G1949" s="58"/>
      <c r="H1949" s="2"/>
      <c r="I1949" s="2"/>
      <c r="J1949" s="2"/>
      <c r="K1949" s="1"/>
    </row>
    <row r="1950" spans="1:11" ht="15.75" customHeight="1">
      <c r="A1950" s="69"/>
      <c r="B1950" s="69"/>
      <c r="C1950" s="69"/>
      <c r="D1950" s="69"/>
      <c r="E1950" s="69"/>
      <c r="F1950" s="69"/>
      <c r="G1950" s="58"/>
      <c r="H1950" s="2"/>
      <c r="I1950" s="2"/>
      <c r="J1950" s="2"/>
      <c r="K1950" s="1"/>
    </row>
    <row r="1951" spans="1:11" ht="15.75" customHeight="1">
      <c r="A1951" s="69"/>
      <c r="B1951" s="69"/>
      <c r="C1951" s="69"/>
      <c r="D1951" s="69"/>
      <c r="E1951" s="69"/>
      <c r="F1951" s="69"/>
      <c r="G1951" s="58"/>
      <c r="H1951" s="2"/>
      <c r="I1951" s="2"/>
      <c r="J1951" s="2"/>
      <c r="K1951" s="1"/>
    </row>
    <row r="1952" spans="1:11" ht="15.75" customHeight="1">
      <c r="A1952" s="69"/>
      <c r="B1952" s="69"/>
      <c r="C1952" s="69"/>
      <c r="D1952" s="69"/>
      <c r="E1952" s="69"/>
      <c r="F1952" s="69"/>
      <c r="G1952" s="58"/>
      <c r="H1952" s="2"/>
      <c r="I1952" s="2"/>
      <c r="J1952" s="2"/>
      <c r="K1952" s="1"/>
    </row>
    <row r="1953" spans="1:11" ht="15.75" customHeight="1">
      <c r="A1953" s="69"/>
      <c r="B1953" s="69"/>
      <c r="C1953" s="69"/>
      <c r="D1953" s="69"/>
      <c r="E1953" s="69"/>
      <c r="F1953" s="69"/>
      <c r="G1953" s="58"/>
      <c r="H1953" s="2"/>
      <c r="I1953" s="2"/>
      <c r="J1953" s="2"/>
      <c r="K1953" s="1"/>
    </row>
    <row r="1954" spans="1:11" ht="15.75" customHeight="1">
      <c r="A1954" s="69"/>
      <c r="B1954" s="69"/>
      <c r="C1954" s="69"/>
      <c r="D1954" s="69"/>
      <c r="E1954" s="69"/>
      <c r="F1954" s="69"/>
      <c r="G1954" s="58"/>
      <c r="H1954" s="2"/>
      <c r="I1954" s="2"/>
      <c r="J1954" s="2"/>
      <c r="K1954" s="1"/>
    </row>
    <row r="1955" spans="1:11" ht="15.75" customHeight="1">
      <c r="A1955" s="69"/>
      <c r="B1955" s="69"/>
      <c r="C1955" s="69"/>
      <c r="D1955" s="69"/>
      <c r="E1955" s="69"/>
      <c r="F1955" s="69"/>
      <c r="G1955" s="58"/>
      <c r="H1955" s="2"/>
      <c r="I1955" s="2"/>
      <c r="J1955" s="2"/>
      <c r="K1955" s="1"/>
    </row>
    <row r="1956" spans="1:11" ht="15.75" customHeight="1">
      <c r="A1956" s="69"/>
      <c r="B1956" s="69"/>
      <c r="C1956" s="69"/>
      <c r="D1956" s="69"/>
      <c r="E1956" s="69"/>
      <c r="F1956" s="69"/>
      <c r="G1956" s="58"/>
      <c r="H1956" s="2"/>
      <c r="I1956" s="2"/>
      <c r="J1956" s="2"/>
      <c r="K1956" s="1"/>
    </row>
    <row r="1957" spans="1:11" ht="15.75" customHeight="1">
      <c r="A1957" s="69"/>
      <c r="B1957" s="69"/>
      <c r="C1957" s="69"/>
      <c r="D1957" s="69"/>
      <c r="E1957" s="69"/>
      <c r="F1957" s="69"/>
      <c r="G1957" s="58"/>
      <c r="H1957" s="2"/>
      <c r="I1957" s="2"/>
      <c r="J1957" s="2"/>
      <c r="K1957" s="1"/>
    </row>
    <row r="1958" spans="1:11" ht="15.75" customHeight="1">
      <c r="A1958" s="69"/>
      <c r="B1958" s="69"/>
      <c r="C1958" s="69"/>
      <c r="D1958" s="69"/>
      <c r="E1958" s="69"/>
      <c r="F1958" s="69"/>
      <c r="G1958" s="58"/>
      <c r="H1958" s="2"/>
      <c r="I1958" s="2"/>
      <c r="J1958" s="2"/>
      <c r="K1958" s="1"/>
    </row>
    <row r="1959" spans="1:11" ht="15.75" customHeight="1">
      <c r="A1959" s="69"/>
      <c r="B1959" s="69"/>
      <c r="C1959" s="69"/>
      <c r="D1959" s="69"/>
      <c r="E1959" s="69"/>
      <c r="F1959" s="69"/>
      <c r="G1959" s="58"/>
      <c r="H1959" s="2"/>
      <c r="I1959" s="2"/>
      <c r="J1959" s="2"/>
      <c r="K1959" s="1"/>
    </row>
    <row r="1960" spans="1:11" ht="15.75" customHeight="1">
      <c r="A1960" s="69"/>
      <c r="B1960" s="69"/>
      <c r="C1960" s="69"/>
      <c r="D1960" s="69"/>
      <c r="E1960" s="69"/>
      <c r="F1960" s="69"/>
      <c r="G1960" s="58"/>
      <c r="H1960" s="2"/>
      <c r="I1960" s="2"/>
      <c r="J1960" s="2"/>
      <c r="K1960" s="1"/>
    </row>
    <row r="1961" spans="1:11" ht="15.75" customHeight="1">
      <c r="A1961" s="69"/>
      <c r="B1961" s="69"/>
      <c r="C1961" s="69"/>
      <c r="D1961" s="69"/>
      <c r="E1961" s="69"/>
      <c r="F1961" s="69"/>
      <c r="G1961" s="58"/>
      <c r="H1961" s="2"/>
      <c r="I1961" s="2"/>
      <c r="J1961" s="2"/>
      <c r="K1961" s="1"/>
    </row>
    <row r="1962" spans="1:11" ht="15.75" customHeight="1">
      <c r="A1962" s="69"/>
      <c r="B1962" s="69"/>
      <c r="C1962" s="69"/>
      <c r="D1962" s="69"/>
      <c r="E1962" s="69"/>
      <c r="F1962" s="69"/>
      <c r="G1962" s="58"/>
      <c r="H1962" s="2"/>
      <c r="I1962" s="2"/>
      <c r="J1962" s="2"/>
      <c r="K1962" s="1"/>
    </row>
    <row r="1963" spans="1:11" ht="15.75" customHeight="1">
      <c r="A1963" s="69"/>
      <c r="B1963" s="69"/>
      <c r="C1963" s="69"/>
      <c r="D1963" s="69"/>
      <c r="E1963" s="69"/>
      <c r="F1963" s="69"/>
      <c r="G1963" s="58"/>
      <c r="H1963" s="2"/>
      <c r="I1963" s="2"/>
      <c r="J1963" s="2"/>
      <c r="K1963" s="1"/>
    </row>
    <row r="1964" spans="1:11" ht="15.75" customHeight="1">
      <c r="A1964" s="69"/>
      <c r="B1964" s="69"/>
      <c r="C1964" s="69"/>
      <c r="D1964" s="69"/>
      <c r="E1964" s="69"/>
      <c r="F1964" s="69"/>
      <c r="G1964" s="58"/>
      <c r="H1964" s="2"/>
      <c r="I1964" s="2"/>
      <c r="J1964" s="2"/>
      <c r="K1964" s="1"/>
    </row>
    <row r="1965" spans="1:11" ht="15.75" customHeight="1">
      <c r="A1965" s="69"/>
      <c r="B1965" s="69"/>
      <c r="C1965" s="69"/>
      <c r="D1965" s="69"/>
      <c r="E1965" s="69"/>
      <c r="F1965" s="69"/>
      <c r="G1965" s="58"/>
      <c r="H1965" s="2"/>
      <c r="I1965" s="2"/>
      <c r="J1965" s="2"/>
      <c r="K1965" s="1"/>
    </row>
    <row r="1966" spans="1:11" ht="15.75" customHeight="1">
      <c r="A1966" s="69"/>
      <c r="B1966" s="69"/>
      <c r="C1966" s="69"/>
      <c r="D1966" s="69"/>
      <c r="E1966" s="69"/>
      <c r="F1966" s="69"/>
      <c r="G1966" s="58"/>
      <c r="H1966" s="2"/>
      <c r="I1966" s="2"/>
      <c r="J1966" s="2"/>
      <c r="K1966" s="1"/>
    </row>
    <row r="1967" spans="1:11" ht="15.75" customHeight="1">
      <c r="A1967" s="69"/>
      <c r="B1967" s="69"/>
      <c r="C1967" s="69"/>
      <c r="D1967" s="69"/>
      <c r="E1967" s="69"/>
      <c r="F1967" s="69"/>
      <c r="G1967" s="58"/>
      <c r="H1967" s="2"/>
      <c r="I1967" s="2"/>
      <c r="J1967" s="2"/>
      <c r="K1967" s="1"/>
    </row>
    <row r="1968" spans="1:11" ht="15.75" customHeight="1">
      <c r="A1968" s="69"/>
      <c r="B1968" s="69"/>
      <c r="C1968" s="69"/>
      <c r="D1968" s="69"/>
      <c r="E1968" s="69"/>
      <c r="F1968" s="69"/>
      <c r="G1968" s="58"/>
      <c r="H1968" s="2"/>
      <c r="I1968" s="2"/>
      <c r="J1968" s="2"/>
      <c r="K1968" s="1"/>
    </row>
    <row r="1969" spans="1:11" ht="15.75" customHeight="1">
      <c r="A1969" s="69"/>
      <c r="B1969" s="69"/>
      <c r="C1969" s="69"/>
      <c r="D1969" s="69"/>
      <c r="E1969" s="69"/>
      <c r="F1969" s="69"/>
      <c r="G1969" s="58"/>
      <c r="H1969" s="2"/>
      <c r="I1969" s="2"/>
      <c r="J1969" s="2"/>
      <c r="K1969" s="1"/>
    </row>
    <row r="1970" spans="1:11" ht="15.75" customHeight="1">
      <c r="A1970" s="69"/>
      <c r="B1970" s="69"/>
      <c r="C1970" s="69"/>
      <c r="D1970" s="69"/>
      <c r="E1970" s="69"/>
      <c r="F1970" s="69"/>
      <c r="G1970" s="58"/>
      <c r="H1970" s="2"/>
      <c r="I1970" s="2"/>
      <c r="J1970" s="2"/>
      <c r="K1970" s="1"/>
    </row>
    <row r="1971" spans="1:11" ht="15.75" customHeight="1">
      <c r="A1971" s="69"/>
      <c r="B1971" s="69"/>
      <c r="C1971" s="69"/>
      <c r="D1971" s="69"/>
      <c r="E1971" s="69"/>
      <c r="F1971" s="69"/>
      <c r="G1971" s="58"/>
      <c r="H1971" s="2"/>
      <c r="I1971" s="2"/>
      <c r="J1971" s="2"/>
      <c r="K1971" s="1"/>
    </row>
    <row r="1972" spans="1:11" ht="15.75" customHeight="1">
      <c r="A1972" s="69"/>
      <c r="B1972" s="69"/>
      <c r="C1972" s="69"/>
      <c r="D1972" s="69"/>
      <c r="E1972" s="69"/>
      <c r="F1972" s="69"/>
      <c r="G1972" s="58"/>
      <c r="H1972" s="2"/>
      <c r="I1972" s="2"/>
      <c r="J1972" s="2"/>
      <c r="K1972" s="1"/>
    </row>
    <row r="1973" spans="1:11" ht="15.75" customHeight="1">
      <c r="A1973" s="69"/>
      <c r="B1973" s="69"/>
      <c r="C1973" s="69"/>
      <c r="D1973" s="69"/>
      <c r="E1973" s="69"/>
      <c r="F1973" s="69"/>
      <c r="G1973" s="58"/>
      <c r="H1973" s="2"/>
      <c r="I1973" s="2"/>
      <c r="J1973" s="2"/>
      <c r="K1973" s="1"/>
    </row>
    <row r="1974" spans="1:11" ht="15.75" customHeight="1">
      <c r="A1974" s="69"/>
      <c r="B1974" s="69"/>
      <c r="C1974" s="69"/>
      <c r="D1974" s="69"/>
      <c r="E1974" s="69"/>
      <c r="F1974" s="69"/>
      <c r="G1974" s="58"/>
      <c r="H1974" s="2"/>
      <c r="I1974" s="2"/>
      <c r="J1974" s="2"/>
      <c r="K1974" s="1"/>
    </row>
    <row r="1975" spans="1:11" ht="15.75" customHeight="1">
      <c r="A1975" s="69"/>
      <c r="B1975" s="69"/>
      <c r="C1975" s="69"/>
      <c r="D1975" s="69"/>
      <c r="E1975" s="69"/>
      <c r="F1975" s="69"/>
      <c r="G1975" s="58"/>
      <c r="H1975" s="2"/>
      <c r="I1975" s="2"/>
      <c r="J1975" s="2"/>
      <c r="K1975" s="1"/>
    </row>
    <row r="1976" spans="1:11" ht="15.75" customHeight="1">
      <c r="A1976" s="69"/>
      <c r="B1976" s="69"/>
      <c r="C1976" s="69"/>
      <c r="D1976" s="69"/>
      <c r="E1976" s="69"/>
      <c r="F1976" s="69"/>
      <c r="G1976" s="58"/>
      <c r="H1976" s="2"/>
      <c r="I1976" s="2"/>
      <c r="J1976" s="2"/>
      <c r="K1976" s="1"/>
    </row>
    <row r="1977" spans="1:11" ht="15.75" customHeight="1">
      <c r="A1977" s="69"/>
      <c r="B1977" s="69"/>
      <c r="C1977" s="69"/>
      <c r="D1977" s="69"/>
      <c r="E1977" s="69"/>
      <c r="F1977" s="69"/>
      <c r="G1977" s="58"/>
      <c r="H1977" s="2"/>
      <c r="I1977" s="2"/>
      <c r="J1977" s="2"/>
      <c r="K1977" s="1"/>
    </row>
    <row r="1978" spans="1:11" ht="15.75" customHeight="1">
      <c r="A1978" s="69"/>
      <c r="B1978" s="69"/>
      <c r="C1978" s="69"/>
      <c r="D1978" s="69"/>
      <c r="E1978" s="69"/>
      <c r="F1978" s="69"/>
      <c r="G1978" s="58"/>
      <c r="H1978" s="2"/>
      <c r="I1978" s="2"/>
      <c r="J1978" s="2"/>
      <c r="K1978" s="1"/>
    </row>
    <row r="1979" spans="1:11" ht="15.75" customHeight="1">
      <c r="A1979" s="69"/>
      <c r="B1979" s="69"/>
      <c r="C1979" s="69"/>
      <c r="D1979" s="69"/>
      <c r="E1979" s="69"/>
      <c r="F1979" s="69"/>
      <c r="G1979" s="58"/>
      <c r="H1979" s="2"/>
      <c r="I1979" s="2"/>
      <c r="J1979" s="2"/>
      <c r="K1979" s="1"/>
    </row>
    <row r="1980" spans="1:11" ht="15.75" customHeight="1">
      <c r="A1980" s="69"/>
      <c r="B1980" s="69"/>
      <c r="C1980" s="69"/>
      <c r="D1980" s="69"/>
      <c r="E1980" s="69"/>
      <c r="F1980" s="69"/>
      <c r="G1980" s="58"/>
      <c r="H1980" s="2"/>
      <c r="I1980" s="2"/>
      <c r="J1980" s="2"/>
      <c r="K1980" s="1"/>
    </row>
    <row r="1981" spans="1:11" ht="15.75" customHeight="1">
      <c r="A1981" s="69"/>
      <c r="B1981" s="69"/>
      <c r="C1981" s="69"/>
      <c r="D1981" s="69"/>
      <c r="E1981" s="69"/>
      <c r="F1981" s="69"/>
      <c r="G1981" s="58"/>
      <c r="H1981" s="2"/>
      <c r="I1981" s="2"/>
      <c r="J1981" s="2"/>
      <c r="K1981" s="1"/>
    </row>
    <row r="1982" spans="1:11" ht="15.75" customHeight="1">
      <c r="A1982" s="69"/>
      <c r="B1982" s="69"/>
      <c r="C1982" s="69"/>
      <c r="D1982" s="69"/>
      <c r="E1982" s="69"/>
      <c r="F1982" s="69"/>
      <c r="G1982" s="58"/>
      <c r="H1982" s="2"/>
      <c r="I1982" s="2"/>
      <c r="J1982" s="2"/>
      <c r="K1982" s="1"/>
    </row>
    <row r="1983" spans="1:11" ht="15.75" customHeight="1">
      <c r="A1983" s="69"/>
      <c r="B1983" s="69"/>
      <c r="C1983" s="69"/>
      <c r="D1983" s="69"/>
      <c r="E1983" s="69"/>
      <c r="F1983" s="69"/>
      <c r="G1983" s="58"/>
      <c r="H1983" s="2"/>
      <c r="I1983" s="2"/>
      <c r="J1983" s="2"/>
      <c r="K1983" s="1"/>
    </row>
    <row r="1984" spans="1:11" ht="15.75" customHeight="1">
      <c r="A1984" s="69"/>
      <c r="B1984" s="69"/>
      <c r="C1984" s="69"/>
      <c r="D1984" s="69"/>
      <c r="E1984" s="69"/>
      <c r="F1984" s="69"/>
      <c r="G1984" s="58"/>
      <c r="H1984" s="2"/>
      <c r="I1984" s="2"/>
      <c r="J1984" s="2"/>
      <c r="K1984" s="1"/>
    </row>
    <row r="1985" spans="1:11" ht="15.75" customHeight="1">
      <c r="A1985" s="69"/>
      <c r="B1985" s="69"/>
      <c r="C1985" s="69"/>
      <c r="D1985" s="69"/>
      <c r="E1985" s="69"/>
      <c r="F1985" s="69"/>
      <c r="G1985" s="58"/>
      <c r="H1985" s="2"/>
      <c r="I1985" s="2"/>
      <c r="J1985" s="2"/>
      <c r="K1985" s="1"/>
    </row>
    <row r="1986" spans="1:11" ht="15.75" customHeight="1">
      <c r="A1986" s="69"/>
      <c r="B1986" s="69"/>
      <c r="C1986" s="69"/>
      <c r="D1986" s="69"/>
      <c r="E1986" s="69"/>
      <c r="F1986" s="69"/>
      <c r="G1986" s="58"/>
      <c r="H1986" s="2"/>
      <c r="I1986" s="2"/>
      <c r="J1986" s="2"/>
      <c r="K1986" s="1"/>
    </row>
    <row r="1987" spans="1:11" ht="15.75" customHeight="1">
      <c r="A1987" s="69"/>
      <c r="B1987" s="69"/>
      <c r="C1987" s="69"/>
      <c r="D1987" s="69"/>
      <c r="E1987" s="69"/>
      <c r="F1987" s="69"/>
      <c r="G1987" s="58"/>
      <c r="H1987" s="2"/>
      <c r="I1987" s="2"/>
      <c r="J1987" s="2"/>
      <c r="K1987" s="1"/>
    </row>
    <row r="1988" spans="1:11" ht="15.75" customHeight="1">
      <c r="A1988" s="69"/>
      <c r="B1988" s="69"/>
      <c r="C1988" s="69"/>
      <c r="D1988" s="69"/>
      <c r="E1988" s="69"/>
      <c r="F1988" s="69"/>
      <c r="G1988" s="58"/>
      <c r="H1988" s="2"/>
      <c r="I1988" s="2"/>
      <c r="J1988" s="2"/>
      <c r="K1988" s="1"/>
    </row>
    <row r="1989" spans="1:11" ht="15.75" customHeight="1">
      <c r="A1989" s="69"/>
      <c r="B1989" s="69"/>
      <c r="C1989" s="69"/>
      <c r="D1989" s="69"/>
      <c r="E1989" s="69"/>
      <c r="F1989" s="69"/>
      <c r="G1989" s="58"/>
      <c r="H1989" s="2"/>
      <c r="I1989" s="2"/>
      <c r="J1989" s="2"/>
      <c r="K1989" s="1"/>
    </row>
    <row r="1990" spans="1:11" ht="15.75" customHeight="1">
      <c r="A1990" s="69"/>
      <c r="B1990" s="69"/>
      <c r="C1990" s="69"/>
      <c r="D1990" s="69"/>
      <c r="E1990" s="69"/>
      <c r="F1990" s="69"/>
      <c r="G1990" s="58"/>
      <c r="H1990" s="2"/>
      <c r="I1990" s="2"/>
      <c r="J1990" s="2"/>
      <c r="K1990" s="1"/>
    </row>
    <row r="1991" spans="1:11" ht="15.75" customHeight="1">
      <c r="A1991" s="69"/>
      <c r="B1991" s="69"/>
      <c r="C1991" s="69"/>
      <c r="D1991" s="69"/>
      <c r="E1991" s="69"/>
      <c r="F1991" s="69"/>
      <c r="G1991" s="58"/>
      <c r="H1991" s="2"/>
      <c r="I1991" s="2"/>
      <c r="J1991" s="2"/>
      <c r="K1991" s="1"/>
    </row>
    <row r="1992" spans="1:11" ht="15.75" customHeight="1">
      <c r="A1992" s="69"/>
      <c r="B1992" s="69"/>
      <c r="C1992" s="69"/>
      <c r="D1992" s="69"/>
      <c r="E1992" s="69"/>
      <c r="F1992" s="69"/>
      <c r="G1992" s="58"/>
      <c r="H1992" s="2"/>
      <c r="I1992" s="2"/>
      <c r="J1992" s="2"/>
      <c r="K1992" s="1"/>
    </row>
    <row r="1993" spans="1:11" ht="15.75" customHeight="1">
      <c r="A1993" s="69"/>
      <c r="B1993" s="69"/>
      <c r="C1993" s="69"/>
      <c r="D1993" s="69"/>
      <c r="E1993" s="69"/>
      <c r="F1993" s="69"/>
      <c r="G1993" s="58"/>
      <c r="H1993" s="2"/>
      <c r="I1993" s="2"/>
      <c r="J1993" s="2"/>
      <c r="K1993" s="1"/>
    </row>
    <row r="1994" spans="1:11" ht="15.75" customHeight="1">
      <c r="A1994" s="69"/>
      <c r="B1994" s="69"/>
      <c r="C1994" s="69"/>
      <c r="D1994" s="69"/>
      <c r="E1994" s="69"/>
      <c r="F1994" s="69"/>
      <c r="G1994" s="58"/>
      <c r="H1994" s="2"/>
      <c r="I1994" s="2"/>
      <c r="J1994" s="2"/>
      <c r="K1994" s="1"/>
    </row>
    <row r="1995" spans="1:11" ht="15.75" customHeight="1">
      <c r="A1995" s="69"/>
      <c r="B1995" s="69"/>
      <c r="C1995" s="69"/>
      <c r="D1995" s="69"/>
      <c r="E1995" s="69"/>
      <c r="F1995" s="69"/>
      <c r="G1995" s="58"/>
      <c r="H1995" s="2"/>
      <c r="I1995" s="2"/>
      <c r="J1995" s="2"/>
      <c r="K1995" s="1"/>
    </row>
    <row r="1996" spans="1:11" ht="15.75" customHeight="1">
      <c r="A1996" s="69"/>
      <c r="B1996" s="69"/>
      <c r="C1996" s="69"/>
      <c r="D1996" s="69"/>
      <c r="E1996" s="69"/>
      <c r="F1996" s="69"/>
      <c r="G1996" s="58"/>
      <c r="H1996" s="2"/>
      <c r="I1996" s="2"/>
      <c r="J1996" s="2"/>
      <c r="K1996" s="1"/>
    </row>
    <row r="1997" spans="1:11" ht="15.75" customHeight="1">
      <c r="A1997" s="69"/>
      <c r="B1997" s="69"/>
      <c r="C1997" s="69"/>
      <c r="D1997" s="69"/>
      <c r="E1997" s="69"/>
      <c r="F1997" s="69"/>
      <c r="G1997" s="58"/>
      <c r="H1997" s="2"/>
      <c r="I1997" s="2"/>
      <c r="J1997" s="2"/>
      <c r="K1997" s="1"/>
    </row>
    <row r="1998" spans="1:11" ht="15.75" customHeight="1">
      <c r="A1998" s="69"/>
      <c r="B1998" s="69"/>
      <c r="C1998" s="69"/>
      <c r="D1998" s="69"/>
      <c r="E1998" s="69"/>
      <c r="F1998" s="69"/>
      <c r="G1998" s="58"/>
      <c r="H1998" s="2"/>
      <c r="I1998" s="2"/>
      <c r="J1998" s="2"/>
      <c r="K1998" s="1"/>
    </row>
    <row r="1999" spans="1:11" ht="15.75" customHeight="1">
      <c r="A1999" s="69"/>
      <c r="B1999" s="69"/>
      <c r="C1999" s="69"/>
      <c r="D1999" s="69"/>
      <c r="E1999" s="69"/>
      <c r="F1999" s="69"/>
      <c r="G1999" s="58"/>
      <c r="H1999" s="2"/>
      <c r="I1999" s="2"/>
      <c r="J1999" s="2"/>
      <c r="K1999" s="1"/>
    </row>
    <row r="2000" spans="1:11" ht="15.75" customHeight="1">
      <c r="A2000" s="69"/>
      <c r="B2000" s="69"/>
      <c r="C2000" s="69"/>
      <c r="D2000" s="69"/>
      <c r="E2000" s="69"/>
      <c r="F2000" s="69"/>
      <c r="G2000" s="58"/>
      <c r="H2000" s="2"/>
      <c r="I2000" s="2"/>
      <c r="J2000" s="2"/>
      <c r="K2000" s="1"/>
    </row>
    <row r="2001" spans="1:11" ht="15.75" customHeight="1">
      <c r="A2001" s="69"/>
      <c r="B2001" s="69"/>
      <c r="C2001" s="69"/>
      <c r="D2001" s="69"/>
      <c r="E2001" s="69"/>
      <c r="F2001" s="69"/>
      <c r="G2001" s="58"/>
      <c r="H2001" s="2"/>
      <c r="I2001" s="2"/>
      <c r="J2001" s="2"/>
      <c r="K2001" s="1"/>
    </row>
    <row r="2002" spans="1:11" ht="15.75" customHeight="1">
      <c r="A2002" s="69"/>
      <c r="B2002" s="69"/>
      <c r="C2002" s="69"/>
      <c r="D2002" s="69"/>
      <c r="E2002" s="69"/>
      <c r="F2002" s="69"/>
      <c r="G2002" s="58"/>
      <c r="H2002" s="2"/>
      <c r="I2002" s="2"/>
      <c r="J2002" s="2"/>
      <c r="K2002" s="1"/>
    </row>
    <row r="2003" spans="1:11" ht="15.75" customHeight="1">
      <c r="A2003" s="69"/>
      <c r="B2003" s="69"/>
      <c r="C2003" s="69"/>
      <c r="D2003" s="69"/>
      <c r="E2003" s="69"/>
      <c r="F2003" s="69"/>
      <c r="G2003" s="58"/>
      <c r="H2003" s="2"/>
      <c r="I2003" s="2"/>
      <c r="J2003" s="2"/>
      <c r="K2003" s="1"/>
    </row>
    <row r="2004" spans="1:11" ht="15.75" customHeight="1">
      <c r="A2004" s="69"/>
      <c r="B2004" s="69"/>
      <c r="C2004" s="69"/>
      <c r="D2004" s="69"/>
      <c r="E2004" s="69"/>
      <c r="F2004" s="69"/>
      <c r="G2004" s="58"/>
      <c r="H2004" s="2"/>
      <c r="I2004" s="2"/>
      <c r="J2004" s="2"/>
      <c r="K2004" s="1"/>
    </row>
    <row r="2005" spans="1:11" ht="15.75" customHeight="1">
      <c r="A2005" s="69"/>
      <c r="B2005" s="69"/>
      <c r="C2005" s="69"/>
      <c r="D2005" s="69"/>
      <c r="E2005" s="69"/>
      <c r="F2005" s="69"/>
      <c r="G2005" s="58"/>
      <c r="H2005" s="2"/>
      <c r="I2005" s="2"/>
      <c r="J2005" s="2"/>
      <c r="K2005" s="1"/>
    </row>
    <row r="2006" spans="1:11" ht="15.75" customHeight="1">
      <c r="A2006" s="69"/>
      <c r="B2006" s="69"/>
      <c r="C2006" s="69"/>
      <c r="D2006" s="69"/>
      <c r="E2006" s="69"/>
      <c r="F2006" s="69"/>
      <c r="G2006" s="58"/>
      <c r="H2006" s="2"/>
      <c r="I2006" s="2"/>
      <c r="J2006" s="2"/>
      <c r="K2006" s="1"/>
    </row>
    <row r="2007" spans="1:11" ht="15.75" customHeight="1">
      <c r="A2007" s="69"/>
      <c r="B2007" s="69"/>
      <c r="C2007" s="69"/>
      <c r="D2007" s="69"/>
      <c r="E2007" s="69"/>
      <c r="F2007" s="69"/>
      <c r="G2007" s="58"/>
      <c r="H2007" s="2"/>
      <c r="I2007" s="2"/>
      <c r="J2007" s="2"/>
      <c r="K2007" s="1"/>
    </row>
    <row r="2008" spans="1:11" ht="15.75" customHeight="1">
      <c r="A2008" s="69"/>
      <c r="B2008" s="69"/>
      <c r="C2008" s="69"/>
      <c r="D2008" s="69"/>
      <c r="E2008" s="69"/>
      <c r="F2008" s="69"/>
      <c r="G2008" s="58"/>
      <c r="H2008" s="2"/>
      <c r="I2008" s="2"/>
      <c r="J2008" s="2"/>
      <c r="K2008" s="1"/>
    </row>
    <row r="2009" spans="1:11" ht="15.75" customHeight="1">
      <c r="A2009" s="69"/>
      <c r="B2009" s="69"/>
      <c r="C2009" s="69"/>
      <c r="D2009" s="69"/>
      <c r="E2009" s="69"/>
      <c r="F2009" s="69"/>
      <c r="G2009" s="58"/>
      <c r="H2009" s="2"/>
      <c r="I2009" s="2"/>
      <c r="J2009" s="2"/>
      <c r="K2009" s="1"/>
    </row>
    <row r="2010" spans="1:11" ht="15.75" customHeight="1">
      <c r="A2010" s="69"/>
      <c r="B2010" s="69"/>
      <c r="C2010" s="69"/>
      <c r="D2010" s="69"/>
      <c r="E2010" s="69"/>
      <c r="F2010" s="69"/>
      <c r="G2010" s="58"/>
      <c r="H2010" s="2"/>
      <c r="I2010" s="2"/>
      <c r="J2010" s="2"/>
      <c r="K2010" s="1"/>
    </row>
    <row r="2011" spans="1:11" ht="15.75" customHeight="1">
      <c r="A2011" s="69"/>
      <c r="B2011" s="69"/>
      <c r="C2011" s="69"/>
      <c r="D2011" s="69"/>
      <c r="E2011" s="69"/>
      <c r="F2011" s="69"/>
      <c r="G2011" s="58"/>
      <c r="H2011" s="2"/>
      <c r="I2011" s="2"/>
      <c r="J2011" s="2"/>
      <c r="K2011" s="1"/>
    </row>
    <row r="2012" spans="1:11" ht="15.75" customHeight="1">
      <c r="A2012" s="69"/>
      <c r="B2012" s="69"/>
      <c r="C2012" s="69"/>
      <c r="D2012" s="69"/>
      <c r="E2012" s="69"/>
      <c r="F2012" s="69"/>
      <c r="G2012" s="58"/>
      <c r="H2012" s="2"/>
      <c r="I2012" s="2"/>
      <c r="J2012" s="2"/>
      <c r="K2012" s="1"/>
    </row>
    <row r="2013" spans="1:11" ht="15.75" customHeight="1">
      <c r="A2013" s="69"/>
      <c r="B2013" s="69"/>
      <c r="C2013" s="69"/>
      <c r="D2013" s="69"/>
      <c r="E2013" s="69"/>
      <c r="F2013" s="69"/>
      <c r="G2013" s="58"/>
      <c r="H2013" s="2"/>
      <c r="I2013" s="2"/>
      <c r="J2013" s="2"/>
      <c r="K2013" s="1"/>
    </row>
    <row r="2014" spans="1:11" ht="15.75" customHeight="1">
      <c r="A2014" s="69"/>
      <c r="B2014" s="69"/>
      <c r="C2014" s="69"/>
      <c r="D2014" s="69"/>
      <c r="E2014" s="69"/>
      <c r="F2014" s="69"/>
      <c r="G2014" s="58"/>
      <c r="H2014" s="2"/>
      <c r="I2014" s="2"/>
      <c r="J2014" s="2"/>
      <c r="K2014" s="1"/>
    </row>
    <row r="2015" spans="1:11" ht="15.75" customHeight="1">
      <c r="A2015" s="69"/>
      <c r="B2015" s="69"/>
      <c r="C2015" s="69"/>
      <c r="D2015" s="69"/>
      <c r="E2015" s="69"/>
      <c r="F2015" s="69"/>
      <c r="G2015" s="58"/>
      <c r="H2015" s="2"/>
      <c r="I2015" s="2"/>
      <c r="J2015" s="2"/>
      <c r="K2015" s="1"/>
    </row>
    <row r="2016" spans="1:11" ht="15.75" customHeight="1">
      <c r="A2016" s="69"/>
      <c r="B2016" s="69"/>
      <c r="C2016" s="69"/>
      <c r="D2016" s="69"/>
      <c r="E2016" s="69"/>
      <c r="F2016" s="69"/>
      <c r="G2016" s="58"/>
      <c r="H2016" s="2"/>
      <c r="I2016" s="2"/>
      <c r="J2016" s="2"/>
      <c r="K2016" s="1"/>
    </row>
    <row r="2017" spans="1:11" ht="15.75" customHeight="1">
      <c r="A2017" s="69"/>
      <c r="B2017" s="69"/>
      <c r="C2017" s="69"/>
      <c r="D2017" s="69"/>
      <c r="E2017" s="69"/>
      <c r="F2017" s="69"/>
      <c r="G2017" s="58"/>
      <c r="H2017" s="2"/>
      <c r="I2017" s="2"/>
      <c r="J2017" s="2"/>
      <c r="K2017" s="1"/>
    </row>
    <row r="2018" spans="1:11" ht="15.75" customHeight="1">
      <c r="A2018" s="69"/>
      <c r="B2018" s="69"/>
      <c r="C2018" s="69"/>
      <c r="D2018" s="69"/>
      <c r="E2018" s="69"/>
      <c r="F2018" s="69"/>
      <c r="G2018" s="58"/>
      <c r="H2018" s="2"/>
      <c r="I2018" s="2"/>
      <c r="J2018" s="2"/>
      <c r="K2018" s="1"/>
    </row>
    <row r="2019" spans="1:11" ht="15.75" customHeight="1">
      <c r="A2019" s="69"/>
      <c r="B2019" s="69"/>
      <c r="C2019" s="69"/>
      <c r="D2019" s="69"/>
      <c r="E2019" s="69"/>
      <c r="F2019" s="69"/>
      <c r="G2019" s="58"/>
      <c r="H2019" s="2"/>
      <c r="I2019" s="2"/>
      <c r="J2019" s="2"/>
      <c r="K2019" s="1"/>
    </row>
    <row r="2020" spans="1:11" ht="15.75" customHeight="1">
      <c r="A2020" s="69"/>
      <c r="B2020" s="69"/>
      <c r="C2020" s="69"/>
      <c r="D2020" s="69"/>
      <c r="E2020" s="69"/>
      <c r="F2020" s="69"/>
      <c r="G2020" s="58"/>
      <c r="H2020" s="2"/>
      <c r="I2020" s="2"/>
      <c r="J2020" s="2"/>
      <c r="K2020" s="1"/>
    </row>
    <row r="2021" spans="1:11" ht="15.75" customHeight="1">
      <c r="A2021" s="69"/>
      <c r="B2021" s="69"/>
      <c r="C2021" s="69"/>
      <c r="D2021" s="69"/>
      <c r="E2021" s="69"/>
      <c r="F2021" s="69"/>
      <c r="G2021" s="58"/>
      <c r="H2021" s="2"/>
      <c r="I2021" s="2"/>
      <c r="J2021" s="2"/>
      <c r="K2021" s="1"/>
    </row>
    <row r="2022" spans="1:11" ht="15.75" customHeight="1">
      <c r="A2022" s="69"/>
      <c r="B2022" s="69"/>
      <c r="C2022" s="69"/>
      <c r="D2022" s="69"/>
      <c r="E2022" s="69"/>
      <c r="F2022" s="69"/>
      <c r="G2022" s="58"/>
      <c r="H2022" s="2"/>
      <c r="I2022" s="2"/>
      <c r="J2022" s="2"/>
      <c r="K2022" s="1"/>
    </row>
    <row r="2023" spans="1:11" ht="15.75" customHeight="1">
      <c r="A2023" s="69"/>
      <c r="B2023" s="69"/>
      <c r="C2023" s="69"/>
      <c r="D2023" s="69"/>
      <c r="E2023" s="69"/>
      <c r="F2023" s="69"/>
      <c r="G2023" s="58"/>
      <c r="H2023" s="2"/>
      <c r="I2023" s="2"/>
      <c r="J2023" s="2"/>
      <c r="K2023" s="1"/>
    </row>
    <row r="2024" spans="1:11" ht="15.75" customHeight="1">
      <c r="A2024" s="69"/>
      <c r="B2024" s="69"/>
      <c r="C2024" s="69"/>
      <c r="D2024" s="69"/>
      <c r="E2024" s="69"/>
      <c r="F2024" s="69"/>
      <c r="G2024" s="58"/>
      <c r="H2024" s="2"/>
      <c r="I2024" s="2"/>
      <c r="J2024" s="2"/>
      <c r="K2024" s="1"/>
    </row>
    <row r="2025" spans="1:11" ht="15.75" customHeight="1">
      <c r="A2025" s="69"/>
      <c r="B2025" s="69"/>
      <c r="C2025" s="69"/>
      <c r="D2025" s="69"/>
      <c r="E2025" s="69"/>
      <c r="F2025" s="69"/>
      <c r="G2025" s="58"/>
      <c r="H2025" s="2"/>
      <c r="I2025" s="2"/>
      <c r="J2025" s="2"/>
      <c r="K2025" s="1"/>
    </row>
    <row r="2026" spans="1:11" ht="15.75" customHeight="1">
      <c r="A2026" s="69"/>
      <c r="B2026" s="69"/>
      <c r="C2026" s="69"/>
      <c r="D2026" s="69"/>
      <c r="E2026" s="69"/>
      <c r="F2026" s="69"/>
      <c r="G2026" s="58"/>
      <c r="H2026" s="2"/>
      <c r="I2026" s="2"/>
      <c r="J2026" s="2"/>
      <c r="K2026" s="1"/>
    </row>
    <row r="2027" spans="1:11" ht="15.75" customHeight="1">
      <c r="A2027" s="69"/>
      <c r="B2027" s="69"/>
      <c r="C2027" s="69"/>
      <c r="D2027" s="69"/>
      <c r="E2027" s="69"/>
      <c r="F2027" s="69"/>
      <c r="G2027" s="58"/>
      <c r="H2027" s="2"/>
      <c r="I2027" s="2"/>
      <c r="J2027" s="2"/>
      <c r="K2027" s="1"/>
    </row>
    <row r="2028" spans="1:11" ht="15.75" customHeight="1">
      <c r="A2028" s="69"/>
      <c r="B2028" s="69"/>
      <c r="C2028" s="69"/>
      <c r="D2028" s="69"/>
      <c r="E2028" s="69"/>
      <c r="F2028" s="69"/>
      <c r="G2028" s="58"/>
      <c r="H2028" s="2"/>
      <c r="I2028" s="2"/>
      <c r="J2028" s="2"/>
      <c r="K2028" s="1"/>
    </row>
    <row r="2029" spans="1:11" ht="15.75" customHeight="1">
      <c r="A2029" s="69"/>
      <c r="B2029" s="69"/>
      <c r="C2029" s="69"/>
      <c r="D2029" s="69"/>
      <c r="E2029" s="69"/>
      <c r="F2029" s="69"/>
      <c r="G2029" s="58"/>
      <c r="H2029" s="2"/>
      <c r="I2029" s="2"/>
      <c r="J2029" s="2"/>
      <c r="K2029" s="1"/>
    </row>
    <row r="2030" spans="1:11" ht="15.75" customHeight="1">
      <c r="A2030" s="69"/>
      <c r="B2030" s="69"/>
      <c r="C2030" s="69"/>
      <c r="D2030" s="69"/>
      <c r="E2030" s="69"/>
      <c r="F2030" s="69"/>
      <c r="G2030" s="58"/>
      <c r="H2030" s="2"/>
      <c r="I2030" s="2"/>
      <c r="J2030" s="2"/>
      <c r="K2030" s="1"/>
    </row>
    <row r="2031" spans="1:11" ht="15.75" customHeight="1">
      <c r="A2031" s="69"/>
      <c r="B2031" s="69"/>
      <c r="C2031" s="69"/>
      <c r="D2031" s="69"/>
      <c r="E2031" s="69"/>
      <c r="F2031" s="69"/>
      <c r="G2031" s="58"/>
      <c r="H2031" s="2"/>
      <c r="I2031" s="2"/>
      <c r="J2031" s="2"/>
      <c r="K2031" s="1"/>
    </row>
    <row r="2032" spans="1:11" ht="15.75" customHeight="1">
      <c r="A2032" s="69"/>
      <c r="B2032" s="69"/>
      <c r="C2032" s="69"/>
      <c r="D2032" s="69"/>
      <c r="E2032" s="69"/>
      <c r="F2032" s="69"/>
      <c r="G2032" s="58"/>
      <c r="H2032" s="2"/>
      <c r="I2032" s="2"/>
      <c r="J2032" s="2"/>
      <c r="K2032" s="1"/>
    </row>
    <row r="2033" spans="1:11" ht="15.75" customHeight="1">
      <c r="A2033" s="69"/>
      <c r="B2033" s="69"/>
      <c r="C2033" s="69"/>
      <c r="D2033" s="69"/>
      <c r="E2033" s="69"/>
      <c r="F2033" s="69"/>
      <c r="G2033" s="58"/>
      <c r="H2033" s="2"/>
      <c r="I2033" s="2"/>
      <c r="J2033" s="2"/>
      <c r="K2033" s="1"/>
    </row>
    <row r="2034" spans="1:11" ht="15.75" customHeight="1">
      <c r="A2034" s="69"/>
      <c r="B2034" s="69"/>
      <c r="C2034" s="69"/>
      <c r="D2034" s="69"/>
      <c r="E2034" s="69"/>
      <c r="F2034" s="69"/>
      <c r="G2034" s="58"/>
      <c r="H2034" s="2"/>
      <c r="I2034" s="2"/>
      <c r="J2034" s="2"/>
      <c r="K2034" s="1"/>
    </row>
    <row r="2035" spans="1:11" ht="15.75" customHeight="1">
      <c r="A2035" s="69"/>
      <c r="B2035" s="69"/>
      <c r="C2035" s="69"/>
      <c r="D2035" s="69"/>
      <c r="E2035" s="69"/>
      <c r="F2035" s="69"/>
      <c r="G2035" s="58"/>
      <c r="H2035" s="2"/>
      <c r="I2035" s="2"/>
      <c r="J2035" s="2"/>
      <c r="K2035" s="1"/>
    </row>
    <row r="2036" spans="1:11" ht="15.75" customHeight="1">
      <c r="A2036" s="69"/>
      <c r="B2036" s="69"/>
      <c r="C2036" s="69"/>
      <c r="D2036" s="69"/>
      <c r="E2036" s="69"/>
      <c r="F2036" s="69"/>
      <c r="G2036" s="58"/>
      <c r="H2036" s="2"/>
      <c r="I2036" s="2"/>
      <c r="J2036" s="2"/>
      <c r="K2036" s="1"/>
    </row>
    <row r="2037" spans="1:11" ht="15.75" customHeight="1">
      <c r="A2037" s="69"/>
      <c r="B2037" s="69"/>
      <c r="C2037" s="69"/>
      <c r="D2037" s="69"/>
      <c r="E2037" s="69"/>
      <c r="F2037" s="69"/>
      <c r="G2037" s="58"/>
      <c r="H2037" s="2"/>
      <c r="I2037" s="2"/>
      <c r="J2037" s="2"/>
      <c r="K2037" s="1"/>
    </row>
    <row r="2038" spans="1:11" ht="15.75" customHeight="1">
      <c r="A2038" s="69"/>
      <c r="B2038" s="69"/>
      <c r="C2038" s="69"/>
      <c r="D2038" s="69"/>
      <c r="E2038" s="69"/>
      <c r="F2038" s="69"/>
      <c r="G2038" s="58"/>
      <c r="H2038" s="2"/>
      <c r="I2038" s="2"/>
      <c r="J2038" s="2"/>
      <c r="K2038" s="1"/>
    </row>
    <row r="2039" spans="1:11" ht="15.75" customHeight="1">
      <c r="A2039" s="69"/>
      <c r="B2039" s="69"/>
      <c r="C2039" s="69"/>
      <c r="D2039" s="69"/>
      <c r="E2039" s="69"/>
      <c r="F2039" s="69"/>
      <c r="G2039" s="58"/>
      <c r="H2039" s="2"/>
      <c r="I2039" s="2"/>
      <c r="J2039" s="2"/>
      <c r="K2039" s="1"/>
    </row>
    <row r="2040" spans="1:11" ht="15.75" customHeight="1">
      <c r="A2040" s="69"/>
      <c r="B2040" s="69"/>
      <c r="C2040" s="69"/>
      <c r="D2040" s="69"/>
      <c r="E2040" s="69"/>
      <c r="F2040" s="69"/>
      <c r="G2040" s="58"/>
      <c r="H2040" s="2"/>
      <c r="I2040" s="2"/>
      <c r="J2040" s="2"/>
      <c r="K2040" s="1"/>
    </row>
    <row r="2041" spans="1:11" ht="15.75" customHeight="1">
      <c r="A2041" s="69"/>
      <c r="B2041" s="69"/>
      <c r="C2041" s="69"/>
      <c r="D2041" s="69"/>
      <c r="E2041" s="69"/>
      <c r="F2041" s="69"/>
      <c r="G2041" s="58"/>
      <c r="H2041" s="2"/>
      <c r="I2041" s="2"/>
      <c r="J2041" s="2"/>
      <c r="K2041" s="1"/>
    </row>
    <row r="2042" spans="1:11" ht="15.75" customHeight="1">
      <c r="A2042" s="69"/>
      <c r="B2042" s="69"/>
      <c r="C2042" s="69"/>
      <c r="D2042" s="69"/>
      <c r="E2042" s="69"/>
      <c r="F2042" s="69"/>
      <c r="G2042" s="58"/>
      <c r="H2042" s="2"/>
      <c r="I2042" s="2"/>
      <c r="J2042" s="2"/>
      <c r="K2042" s="1"/>
    </row>
    <row r="2043" spans="1:11" ht="15.75" customHeight="1">
      <c r="A2043" s="69"/>
      <c r="B2043" s="69"/>
      <c r="C2043" s="69"/>
      <c r="D2043" s="69"/>
      <c r="E2043" s="69"/>
      <c r="F2043" s="69"/>
      <c r="G2043" s="58"/>
      <c r="H2043" s="2"/>
      <c r="I2043" s="2"/>
      <c r="J2043" s="2"/>
      <c r="K2043" s="1"/>
    </row>
    <row r="2044" spans="1:11" ht="15.75" customHeight="1">
      <c r="A2044" s="69"/>
      <c r="B2044" s="69"/>
      <c r="C2044" s="69"/>
      <c r="D2044" s="69"/>
      <c r="E2044" s="69"/>
      <c r="F2044" s="69"/>
      <c r="G2044" s="58"/>
      <c r="H2044" s="2"/>
      <c r="I2044" s="2"/>
      <c r="J2044" s="2"/>
      <c r="K2044" s="1"/>
    </row>
    <row r="2045" spans="1:11" ht="15.75" customHeight="1">
      <c r="A2045" s="69"/>
      <c r="B2045" s="69"/>
      <c r="C2045" s="69"/>
      <c r="D2045" s="69"/>
      <c r="E2045" s="69"/>
      <c r="F2045" s="69"/>
      <c r="G2045" s="58"/>
      <c r="H2045" s="2"/>
      <c r="I2045" s="2"/>
      <c r="J2045" s="2"/>
      <c r="K2045" s="1"/>
    </row>
    <row r="2046" spans="1:11" ht="15.75" customHeight="1">
      <c r="A2046" s="69"/>
      <c r="B2046" s="69"/>
      <c r="C2046" s="69"/>
      <c r="D2046" s="69"/>
      <c r="E2046" s="69"/>
      <c r="F2046" s="69"/>
      <c r="G2046" s="58"/>
      <c r="H2046" s="2"/>
      <c r="I2046" s="2"/>
      <c r="J2046" s="2"/>
      <c r="K2046" s="1"/>
    </row>
    <row r="2047" spans="1:11" ht="15.75" customHeight="1">
      <c r="A2047" s="69"/>
      <c r="B2047" s="69"/>
      <c r="C2047" s="69"/>
      <c r="D2047" s="69"/>
      <c r="E2047" s="69"/>
      <c r="F2047" s="69"/>
      <c r="G2047" s="58"/>
      <c r="H2047" s="2"/>
      <c r="I2047" s="2"/>
      <c r="J2047" s="2"/>
      <c r="K2047" s="1"/>
    </row>
    <row r="2048" spans="1:11" ht="15.75" customHeight="1">
      <c r="A2048" s="69"/>
      <c r="B2048" s="69"/>
      <c r="C2048" s="69"/>
      <c r="D2048" s="69"/>
      <c r="E2048" s="69"/>
      <c r="F2048" s="69"/>
      <c r="G2048" s="58"/>
      <c r="H2048" s="2"/>
      <c r="I2048" s="2"/>
      <c r="J2048" s="2"/>
      <c r="K2048" s="1"/>
    </row>
    <row r="2049" spans="1:11" ht="15.75" customHeight="1">
      <c r="A2049" s="69"/>
      <c r="B2049" s="69"/>
      <c r="C2049" s="69"/>
      <c r="D2049" s="69"/>
      <c r="E2049" s="69"/>
      <c r="F2049" s="69"/>
      <c r="G2049" s="58"/>
      <c r="H2049" s="2"/>
      <c r="I2049" s="2"/>
      <c r="J2049" s="2"/>
      <c r="K2049" s="1"/>
    </row>
    <row r="2050" spans="1:11" ht="15.75" customHeight="1">
      <c r="A2050" s="69"/>
      <c r="B2050" s="69"/>
      <c r="C2050" s="69"/>
      <c r="D2050" s="69"/>
      <c r="E2050" s="69"/>
      <c r="F2050" s="69"/>
      <c r="G2050" s="58"/>
      <c r="H2050" s="2"/>
      <c r="I2050" s="2"/>
      <c r="J2050" s="2"/>
      <c r="K2050" s="1"/>
    </row>
    <row r="2051" spans="1:11" ht="15.75" customHeight="1">
      <c r="A2051" s="69"/>
      <c r="B2051" s="69"/>
      <c r="C2051" s="69"/>
      <c r="D2051" s="69"/>
      <c r="E2051" s="69"/>
      <c r="F2051" s="69"/>
      <c r="G2051" s="58"/>
      <c r="H2051" s="2"/>
      <c r="I2051" s="2"/>
      <c r="J2051" s="2"/>
      <c r="K2051" s="1"/>
    </row>
    <row r="2052" spans="1:11" ht="15.75" customHeight="1">
      <c r="A2052" s="69"/>
      <c r="B2052" s="69"/>
      <c r="C2052" s="69"/>
      <c r="D2052" s="69"/>
      <c r="E2052" s="69"/>
      <c r="F2052" s="69"/>
      <c r="G2052" s="58"/>
      <c r="H2052" s="2"/>
      <c r="I2052" s="2"/>
      <c r="J2052" s="2"/>
      <c r="K2052" s="1"/>
    </row>
    <row r="2053" spans="1:11" ht="15.75" customHeight="1">
      <c r="A2053" s="69"/>
      <c r="B2053" s="69"/>
      <c r="C2053" s="69"/>
      <c r="D2053" s="69"/>
      <c r="E2053" s="69"/>
      <c r="F2053" s="69"/>
      <c r="G2053" s="58"/>
      <c r="H2053" s="2"/>
      <c r="I2053" s="2"/>
      <c r="J2053" s="2"/>
      <c r="K2053" s="1"/>
    </row>
    <row r="2054" spans="1:11" ht="15.75" customHeight="1">
      <c r="A2054" s="69"/>
      <c r="B2054" s="69"/>
      <c r="C2054" s="69"/>
      <c r="D2054" s="69"/>
      <c r="E2054" s="69"/>
      <c r="F2054" s="69"/>
      <c r="G2054" s="58"/>
      <c r="H2054" s="2"/>
      <c r="I2054" s="2"/>
      <c r="J2054" s="2"/>
      <c r="K2054" s="1"/>
    </row>
    <row r="2055" spans="1:11" ht="15.75" customHeight="1">
      <c r="A2055" s="69"/>
      <c r="B2055" s="69"/>
      <c r="C2055" s="69"/>
      <c r="D2055" s="69"/>
      <c r="E2055" s="69"/>
      <c r="F2055" s="69"/>
      <c r="G2055" s="58"/>
      <c r="H2055" s="2"/>
      <c r="I2055" s="2"/>
      <c r="J2055" s="2"/>
      <c r="K2055" s="1"/>
    </row>
    <row r="2056" spans="1:11" ht="15.75" customHeight="1">
      <c r="A2056" s="69"/>
      <c r="B2056" s="69"/>
      <c r="C2056" s="69"/>
      <c r="D2056" s="69"/>
      <c r="E2056" s="69"/>
      <c r="F2056" s="69"/>
      <c r="G2056" s="58"/>
      <c r="H2056" s="2"/>
      <c r="I2056" s="2"/>
      <c r="J2056" s="2"/>
      <c r="K2056" s="1"/>
    </row>
    <row r="2057" spans="1:11" ht="15.75" customHeight="1">
      <c r="A2057" s="69"/>
      <c r="B2057" s="69"/>
      <c r="C2057" s="69"/>
      <c r="D2057" s="69"/>
      <c r="E2057" s="69"/>
      <c r="F2057" s="69"/>
      <c r="G2057" s="58"/>
      <c r="H2057" s="2"/>
      <c r="I2057" s="2"/>
      <c r="J2057" s="2"/>
      <c r="K2057" s="1"/>
    </row>
    <row r="2058" spans="1:11" ht="15.75" customHeight="1">
      <c r="A2058" s="69"/>
      <c r="B2058" s="69"/>
      <c r="C2058" s="69"/>
      <c r="D2058" s="69"/>
      <c r="E2058" s="69"/>
      <c r="F2058" s="69"/>
      <c r="G2058" s="58"/>
      <c r="H2058" s="2"/>
      <c r="I2058" s="2"/>
      <c r="J2058" s="2"/>
      <c r="K2058" s="1"/>
    </row>
    <row r="2059" spans="1:11" ht="15.75" customHeight="1">
      <c r="A2059" s="69"/>
      <c r="B2059" s="69"/>
      <c r="C2059" s="69"/>
      <c r="D2059" s="69"/>
      <c r="E2059" s="69"/>
      <c r="F2059" s="69"/>
      <c r="G2059" s="58"/>
      <c r="H2059" s="2"/>
      <c r="I2059" s="2"/>
      <c r="J2059" s="2"/>
      <c r="K2059" s="1"/>
    </row>
    <row r="2060" spans="1:11" ht="15.75" customHeight="1">
      <c r="A2060" s="69"/>
      <c r="B2060" s="69"/>
      <c r="C2060" s="69"/>
      <c r="D2060" s="69"/>
      <c r="E2060" s="69"/>
      <c r="F2060" s="69"/>
      <c r="G2060" s="58"/>
      <c r="H2060" s="2"/>
      <c r="I2060" s="2"/>
      <c r="J2060" s="2"/>
      <c r="K2060" s="1"/>
    </row>
    <row r="2061" spans="1:11" ht="15.75" customHeight="1">
      <c r="A2061" s="69"/>
      <c r="B2061" s="69"/>
      <c r="C2061" s="69"/>
      <c r="D2061" s="69"/>
      <c r="E2061" s="69"/>
      <c r="F2061" s="69"/>
      <c r="G2061" s="58"/>
      <c r="H2061" s="2"/>
      <c r="I2061" s="2"/>
      <c r="J2061" s="2"/>
      <c r="K2061" s="1"/>
    </row>
    <row r="2062" spans="1:11" ht="15.75" customHeight="1">
      <c r="A2062" s="69"/>
      <c r="B2062" s="69"/>
      <c r="C2062" s="69"/>
      <c r="D2062" s="69"/>
      <c r="E2062" s="69"/>
      <c r="F2062" s="69"/>
      <c r="G2062" s="58"/>
      <c r="H2062" s="2"/>
      <c r="I2062" s="2"/>
      <c r="J2062" s="2"/>
      <c r="K2062" s="1"/>
    </row>
    <row r="2063" spans="1:11" ht="15.75" customHeight="1">
      <c r="A2063" s="69"/>
      <c r="B2063" s="69"/>
      <c r="C2063" s="69"/>
      <c r="D2063" s="69"/>
      <c r="E2063" s="69"/>
      <c r="F2063" s="69"/>
      <c r="G2063" s="58"/>
      <c r="H2063" s="2"/>
      <c r="I2063" s="2"/>
      <c r="J2063" s="2"/>
      <c r="K2063" s="1"/>
    </row>
    <row r="2064" spans="1:11" ht="15.75" customHeight="1">
      <c r="A2064" s="69"/>
      <c r="B2064" s="69"/>
      <c r="C2064" s="69"/>
      <c r="D2064" s="69"/>
      <c r="E2064" s="69"/>
      <c r="F2064" s="69"/>
      <c r="G2064" s="58"/>
      <c r="H2064" s="2"/>
      <c r="I2064" s="2"/>
      <c r="J2064" s="2"/>
      <c r="K2064" s="1"/>
    </row>
    <row r="2065" spans="1:11" ht="15.75" customHeight="1">
      <c r="A2065" s="69"/>
      <c r="B2065" s="69"/>
      <c r="C2065" s="69"/>
      <c r="D2065" s="69"/>
      <c r="E2065" s="69"/>
      <c r="F2065" s="69"/>
      <c r="G2065" s="58"/>
      <c r="H2065" s="2"/>
      <c r="I2065" s="2"/>
      <c r="J2065" s="2"/>
      <c r="K2065" s="1"/>
    </row>
    <row r="2066" spans="1:11" ht="15.75" customHeight="1">
      <c r="A2066" s="69"/>
      <c r="B2066" s="69"/>
      <c r="C2066" s="69"/>
      <c r="D2066" s="69"/>
      <c r="E2066" s="69"/>
      <c r="F2066" s="69"/>
      <c r="G2066" s="58"/>
      <c r="H2066" s="2"/>
      <c r="I2066" s="2"/>
      <c r="J2066" s="2"/>
      <c r="K2066" s="1"/>
    </row>
    <row r="2067" spans="1:11" ht="15.75" customHeight="1">
      <c r="A2067" s="69"/>
      <c r="B2067" s="69"/>
      <c r="C2067" s="69"/>
      <c r="D2067" s="69"/>
      <c r="E2067" s="69"/>
      <c r="F2067" s="69"/>
      <c r="G2067" s="58"/>
      <c r="H2067" s="2"/>
      <c r="I2067" s="2"/>
      <c r="J2067" s="2"/>
      <c r="K2067" s="1"/>
    </row>
    <row r="2068" spans="1:11" ht="15.75" customHeight="1">
      <c r="A2068" s="69"/>
      <c r="B2068" s="69"/>
      <c r="C2068" s="69"/>
      <c r="D2068" s="69"/>
      <c r="E2068" s="69"/>
      <c r="F2068" s="69"/>
      <c r="G2068" s="58"/>
      <c r="H2068" s="2"/>
      <c r="I2068" s="2"/>
      <c r="J2068" s="2"/>
      <c r="K2068" s="1"/>
    </row>
    <row r="2069" spans="1:11" ht="15.75" customHeight="1">
      <c r="A2069" s="69"/>
      <c r="B2069" s="69"/>
      <c r="C2069" s="69"/>
      <c r="D2069" s="69"/>
      <c r="E2069" s="69"/>
      <c r="F2069" s="69"/>
      <c r="G2069" s="58"/>
      <c r="H2069" s="2"/>
      <c r="I2069" s="2"/>
      <c r="J2069" s="2"/>
      <c r="K2069" s="1"/>
    </row>
    <row r="2070" spans="1:11" ht="15.75" customHeight="1">
      <c r="A2070" s="69"/>
      <c r="B2070" s="69"/>
      <c r="C2070" s="69"/>
      <c r="D2070" s="69"/>
      <c r="E2070" s="69"/>
      <c r="F2070" s="69"/>
      <c r="G2070" s="58"/>
      <c r="H2070" s="2"/>
      <c r="I2070" s="2"/>
      <c r="J2070" s="2"/>
      <c r="K2070" s="1"/>
    </row>
    <row r="2071" spans="1:11" ht="15.75" customHeight="1">
      <c r="A2071" s="69"/>
      <c r="B2071" s="69"/>
      <c r="C2071" s="69"/>
      <c r="D2071" s="69"/>
      <c r="E2071" s="69"/>
      <c r="F2071" s="69"/>
      <c r="G2071" s="58"/>
      <c r="H2071" s="2"/>
      <c r="I2071" s="2"/>
      <c r="J2071" s="2"/>
      <c r="K2071" s="1"/>
    </row>
    <row r="2072" spans="1:11" ht="15.75" customHeight="1">
      <c r="A2072" s="69"/>
      <c r="B2072" s="69"/>
      <c r="C2072" s="69"/>
      <c r="D2072" s="69"/>
      <c r="E2072" s="69"/>
      <c r="F2072" s="69"/>
      <c r="G2072" s="58"/>
      <c r="H2072" s="2"/>
      <c r="I2072" s="2"/>
      <c r="J2072" s="2"/>
      <c r="K2072" s="1"/>
    </row>
    <row r="2073" spans="1:11" ht="15.75" customHeight="1">
      <c r="A2073" s="69"/>
      <c r="B2073" s="69"/>
      <c r="C2073" s="69"/>
      <c r="D2073" s="69"/>
      <c r="E2073" s="69"/>
      <c r="F2073" s="69"/>
      <c r="G2073" s="58"/>
      <c r="H2073" s="2"/>
      <c r="I2073" s="2"/>
      <c r="J2073" s="2"/>
      <c r="K2073" s="1"/>
    </row>
    <row r="2074" spans="1:11" ht="15.75" customHeight="1">
      <c r="A2074" s="69"/>
      <c r="B2074" s="69"/>
      <c r="C2074" s="69"/>
      <c r="D2074" s="69"/>
      <c r="E2074" s="69"/>
      <c r="F2074" s="69"/>
      <c r="G2074" s="58"/>
      <c r="H2074" s="2"/>
      <c r="I2074" s="2"/>
      <c r="J2074" s="2"/>
      <c r="K2074" s="1"/>
    </row>
    <row r="2075" spans="1:11" ht="15.75" customHeight="1">
      <c r="A2075" s="69"/>
      <c r="B2075" s="69"/>
      <c r="C2075" s="69"/>
      <c r="D2075" s="69"/>
      <c r="E2075" s="69"/>
      <c r="F2075" s="69"/>
      <c r="G2075" s="58"/>
      <c r="H2075" s="2"/>
      <c r="I2075" s="2"/>
      <c r="J2075" s="2"/>
      <c r="K2075" s="1"/>
    </row>
    <row r="2076" spans="1:11" ht="15.75" customHeight="1">
      <c r="A2076" s="69"/>
      <c r="B2076" s="69"/>
      <c r="C2076" s="69"/>
      <c r="D2076" s="69"/>
      <c r="E2076" s="69"/>
      <c r="F2076" s="69"/>
      <c r="G2076" s="58"/>
      <c r="H2076" s="2"/>
      <c r="I2076" s="2"/>
      <c r="J2076" s="2"/>
      <c r="K2076" s="1"/>
    </row>
    <row r="2077" spans="1:11" ht="15.75" customHeight="1">
      <c r="A2077" s="69"/>
      <c r="B2077" s="69"/>
      <c r="C2077" s="69"/>
      <c r="D2077" s="69"/>
      <c r="E2077" s="69"/>
      <c r="F2077" s="69"/>
      <c r="G2077" s="58"/>
      <c r="H2077" s="2"/>
      <c r="I2077" s="2"/>
      <c r="J2077" s="2"/>
      <c r="K2077" s="1"/>
    </row>
    <row r="2078" spans="1:11" ht="15.75" customHeight="1">
      <c r="A2078" s="69"/>
      <c r="B2078" s="69"/>
      <c r="C2078" s="69"/>
      <c r="D2078" s="69"/>
      <c r="E2078" s="69"/>
      <c r="F2078" s="69"/>
      <c r="G2078" s="58"/>
      <c r="H2078" s="2"/>
      <c r="I2078" s="2"/>
      <c r="J2078" s="2"/>
      <c r="K2078" s="1"/>
    </row>
    <row r="2079" spans="1:11" ht="15.75" customHeight="1">
      <c r="A2079" s="69"/>
      <c r="B2079" s="69"/>
      <c r="C2079" s="69"/>
      <c r="D2079" s="69"/>
      <c r="E2079" s="69"/>
      <c r="F2079" s="69"/>
      <c r="G2079" s="58"/>
      <c r="H2079" s="2"/>
      <c r="I2079" s="2"/>
      <c r="J2079" s="2"/>
      <c r="K2079" s="1"/>
    </row>
    <row r="2080" spans="1:11" ht="15.75" customHeight="1">
      <c r="A2080" s="69"/>
      <c r="B2080" s="69"/>
      <c r="C2080" s="69"/>
      <c r="D2080" s="69"/>
      <c r="E2080" s="69"/>
      <c r="F2080" s="69"/>
      <c r="G2080" s="58"/>
      <c r="H2080" s="2"/>
      <c r="I2080" s="2"/>
      <c r="J2080" s="2"/>
      <c r="K2080" s="1"/>
    </row>
    <row r="2081" spans="1:11" ht="15.75" customHeight="1">
      <c r="A2081" s="69"/>
      <c r="B2081" s="69"/>
      <c r="C2081" s="69"/>
      <c r="D2081" s="69"/>
      <c r="E2081" s="69"/>
      <c r="F2081" s="69"/>
      <c r="G2081" s="58"/>
      <c r="H2081" s="2"/>
      <c r="I2081" s="2"/>
      <c r="J2081" s="2"/>
      <c r="K2081" s="1"/>
    </row>
    <row r="2082" spans="1:11" ht="15.75" customHeight="1">
      <c r="A2082" s="69"/>
      <c r="B2082" s="69"/>
      <c r="C2082" s="69"/>
      <c r="D2082" s="69"/>
      <c r="E2082" s="69"/>
      <c r="F2082" s="69"/>
      <c r="G2082" s="58"/>
      <c r="H2082" s="2"/>
      <c r="I2082" s="2"/>
      <c r="J2082" s="2"/>
      <c r="K2082" s="1"/>
    </row>
    <row r="2083" spans="1:11" ht="15.75" customHeight="1">
      <c r="A2083" s="69"/>
      <c r="B2083" s="69"/>
      <c r="C2083" s="69"/>
      <c r="D2083" s="69"/>
      <c r="E2083" s="69"/>
      <c r="F2083" s="69"/>
      <c r="G2083" s="58"/>
      <c r="H2083" s="2"/>
      <c r="I2083" s="2"/>
      <c r="J2083" s="2"/>
      <c r="K2083" s="1"/>
    </row>
    <row r="2084" spans="1:11" ht="15.75" customHeight="1">
      <c r="A2084" s="69"/>
      <c r="B2084" s="69"/>
      <c r="C2084" s="69"/>
      <c r="D2084" s="69"/>
      <c r="E2084" s="69"/>
      <c r="F2084" s="69"/>
      <c r="G2084" s="58"/>
      <c r="H2084" s="2"/>
      <c r="I2084" s="2"/>
      <c r="J2084" s="2"/>
      <c r="K2084" s="1"/>
    </row>
    <row r="2085" spans="1:11" ht="15.75" customHeight="1">
      <c r="A2085" s="69"/>
      <c r="B2085" s="69"/>
      <c r="C2085" s="69"/>
      <c r="D2085" s="69"/>
      <c r="E2085" s="69"/>
      <c r="F2085" s="69"/>
      <c r="G2085" s="58"/>
      <c r="H2085" s="2"/>
      <c r="I2085" s="2"/>
      <c r="J2085" s="2"/>
      <c r="K2085" s="1"/>
    </row>
    <row r="2086" spans="1:11" ht="15.75" customHeight="1">
      <c r="A2086" s="69"/>
      <c r="B2086" s="69"/>
      <c r="C2086" s="69"/>
      <c r="D2086" s="69"/>
      <c r="E2086" s="69"/>
      <c r="F2086" s="69"/>
      <c r="G2086" s="58"/>
      <c r="H2086" s="2"/>
      <c r="I2086" s="2"/>
      <c r="J2086" s="2"/>
      <c r="K2086" s="1"/>
    </row>
    <row r="2087" spans="1:11" ht="15.75" customHeight="1">
      <c r="A2087" s="69"/>
      <c r="B2087" s="69"/>
      <c r="C2087" s="69"/>
      <c r="D2087" s="69"/>
      <c r="E2087" s="69"/>
      <c r="F2087" s="69"/>
      <c r="G2087" s="58"/>
      <c r="H2087" s="2"/>
      <c r="I2087" s="2"/>
      <c r="J2087" s="2"/>
      <c r="K2087" s="1"/>
    </row>
    <row r="2088" spans="1:11" ht="15.75" customHeight="1">
      <c r="A2088" s="69"/>
      <c r="B2088" s="69"/>
      <c r="C2088" s="69"/>
      <c r="D2088" s="69"/>
      <c r="E2088" s="69"/>
      <c r="F2088" s="69"/>
      <c r="G2088" s="58"/>
      <c r="H2088" s="2"/>
      <c r="I2088" s="2"/>
      <c r="J2088" s="2"/>
      <c r="K2088" s="1"/>
    </row>
    <row r="2089" spans="1:11" ht="15.75" customHeight="1">
      <c r="A2089" s="69"/>
      <c r="B2089" s="69"/>
      <c r="C2089" s="69"/>
      <c r="D2089" s="69"/>
      <c r="E2089" s="69"/>
      <c r="F2089" s="69"/>
      <c r="G2089" s="58"/>
      <c r="H2089" s="2"/>
      <c r="I2089" s="2"/>
      <c r="J2089" s="2"/>
      <c r="K2089" s="1"/>
    </row>
    <row r="2090" spans="1:11" ht="15.75" customHeight="1">
      <c r="A2090" s="69"/>
      <c r="B2090" s="69"/>
      <c r="C2090" s="69"/>
      <c r="D2090" s="69"/>
      <c r="E2090" s="69"/>
      <c r="F2090" s="69"/>
      <c r="G2090" s="58"/>
      <c r="H2090" s="2"/>
      <c r="I2090" s="2"/>
      <c r="J2090" s="2"/>
      <c r="K2090" s="1"/>
    </row>
    <row r="2091" spans="1:11" ht="15.75" customHeight="1">
      <c r="A2091" s="69"/>
      <c r="B2091" s="69"/>
      <c r="C2091" s="69"/>
      <c r="D2091" s="69"/>
      <c r="E2091" s="69"/>
      <c r="F2091" s="69"/>
      <c r="G2091" s="58"/>
      <c r="H2091" s="2"/>
      <c r="I2091" s="2"/>
      <c r="J2091" s="2"/>
      <c r="K2091" s="1"/>
    </row>
    <row r="2092" spans="1:11" ht="15.75" customHeight="1">
      <c r="A2092" s="69"/>
      <c r="B2092" s="69"/>
      <c r="C2092" s="69"/>
      <c r="D2092" s="69"/>
      <c r="E2092" s="69"/>
      <c r="F2092" s="69"/>
      <c r="G2092" s="58"/>
      <c r="H2092" s="2"/>
      <c r="I2092" s="2"/>
      <c r="J2092" s="2"/>
      <c r="K2092" s="1"/>
    </row>
    <row r="2093" spans="1:11" ht="15.75" customHeight="1">
      <c r="A2093" s="69"/>
      <c r="B2093" s="69"/>
      <c r="C2093" s="69"/>
      <c r="D2093" s="69"/>
      <c r="E2093" s="69"/>
      <c r="F2093" s="69"/>
      <c r="G2093" s="58"/>
      <c r="H2093" s="2"/>
      <c r="I2093" s="2"/>
      <c r="J2093" s="2"/>
      <c r="K2093" s="1"/>
    </row>
    <row r="2094" spans="1:11" ht="15.75" customHeight="1">
      <c r="A2094" s="69"/>
      <c r="B2094" s="69"/>
      <c r="C2094" s="69"/>
      <c r="D2094" s="69"/>
      <c r="E2094" s="69"/>
      <c r="F2094" s="69"/>
      <c r="G2094" s="58"/>
      <c r="H2094" s="2"/>
      <c r="I2094" s="2"/>
      <c r="J2094" s="2"/>
      <c r="K2094" s="1"/>
    </row>
    <row r="2095" spans="1:11" ht="15.75" customHeight="1">
      <c r="A2095" s="69"/>
      <c r="B2095" s="69"/>
      <c r="C2095" s="69"/>
      <c r="D2095" s="69"/>
      <c r="E2095" s="69"/>
      <c r="F2095" s="69"/>
      <c r="G2095" s="58"/>
      <c r="H2095" s="2"/>
      <c r="I2095" s="2"/>
      <c r="J2095" s="2"/>
      <c r="K2095" s="1"/>
    </row>
    <row r="2096" spans="1:11" ht="15.75" customHeight="1">
      <c r="A2096" s="69"/>
      <c r="B2096" s="69"/>
      <c r="C2096" s="69"/>
      <c r="D2096" s="69"/>
      <c r="E2096" s="69"/>
      <c r="F2096" s="69"/>
      <c r="G2096" s="58"/>
      <c r="H2096" s="2"/>
      <c r="I2096" s="2"/>
      <c r="J2096" s="2"/>
      <c r="K2096" s="1"/>
    </row>
    <row r="2097" spans="1:11" ht="15.75" customHeight="1">
      <c r="A2097" s="69"/>
      <c r="B2097" s="69"/>
      <c r="C2097" s="69"/>
      <c r="D2097" s="69"/>
      <c r="E2097" s="69"/>
      <c r="F2097" s="69"/>
      <c r="G2097" s="58"/>
      <c r="H2097" s="2"/>
      <c r="I2097" s="2"/>
      <c r="J2097" s="2"/>
      <c r="K2097" s="1"/>
    </row>
    <row r="2098" spans="1:11" ht="15.75" customHeight="1">
      <c r="A2098" s="69"/>
      <c r="B2098" s="69"/>
      <c r="C2098" s="69"/>
      <c r="D2098" s="69"/>
      <c r="E2098" s="69"/>
      <c r="F2098" s="69"/>
      <c r="G2098" s="58"/>
      <c r="H2098" s="2"/>
      <c r="I2098" s="2"/>
      <c r="J2098" s="2"/>
      <c r="K2098" s="1"/>
    </row>
    <row r="2099" spans="1:11" ht="15.75" customHeight="1">
      <c r="A2099" s="69"/>
      <c r="B2099" s="69"/>
      <c r="C2099" s="69"/>
      <c r="D2099" s="69"/>
      <c r="E2099" s="69"/>
      <c r="F2099" s="69"/>
      <c r="G2099" s="58"/>
      <c r="H2099" s="2"/>
      <c r="I2099" s="2"/>
      <c r="J2099" s="2"/>
      <c r="K2099" s="1"/>
    </row>
    <row r="2100" spans="1:11" ht="15.75" customHeight="1">
      <c r="A2100" s="69"/>
      <c r="B2100" s="69"/>
      <c r="C2100" s="69"/>
      <c r="D2100" s="69"/>
      <c r="E2100" s="69"/>
      <c r="F2100" s="69"/>
      <c r="G2100" s="58"/>
      <c r="H2100" s="2"/>
      <c r="I2100" s="2"/>
      <c r="J2100" s="2"/>
      <c r="K2100" s="1"/>
    </row>
    <row r="2101" spans="1:11" ht="15.75" customHeight="1">
      <c r="A2101" s="69"/>
      <c r="B2101" s="69"/>
      <c r="C2101" s="69"/>
      <c r="D2101" s="69"/>
      <c r="E2101" s="69"/>
      <c r="F2101" s="69"/>
      <c r="G2101" s="58"/>
      <c r="H2101" s="2"/>
      <c r="I2101" s="2"/>
      <c r="J2101" s="2"/>
      <c r="K2101" s="1"/>
    </row>
    <row r="2102" spans="1:11" ht="15.75" customHeight="1">
      <c r="A2102" s="69"/>
      <c r="B2102" s="69"/>
      <c r="C2102" s="69"/>
      <c r="D2102" s="69"/>
      <c r="E2102" s="69"/>
      <c r="F2102" s="69"/>
      <c r="G2102" s="58"/>
      <c r="H2102" s="2"/>
      <c r="I2102" s="2"/>
      <c r="J2102" s="2"/>
      <c r="K2102" s="1"/>
    </row>
    <row r="2103" spans="1:11" ht="15.75" customHeight="1">
      <c r="A2103" s="69"/>
      <c r="B2103" s="69"/>
      <c r="C2103" s="69"/>
      <c r="D2103" s="69"/>
      <c r="E2103" s="69"/>
      <c r="F2103" s="69"/>
      <c r="G2103" s="58"/>
      <c r="H2103" s="2"/>
      <c r="I2103" s="2"/>
      <c r="J2103" s="2"/>
      <c r="K2103" s="1"/>
    </row>
    <row r="2104" spans="1:11" ht="15.75" customHeight="1">
      <c r="A2104" s="69"/>
      <c r="B2104" s="69"/>
      <c r="C2104" s="69"/>
      <c r="D2104" s="69"/>
      <c r="E2104" s="69"/>
      <c r="F2104" s="69"/>
      <c r="G2104" s="58"/>
      <c r="H2104" s="2"/>
      <c r="I2104" s="2"/>
      <c r="J2104" s="2"/>
      <c r="K2104" s="1"/>
    </row>
    <row r="2105" spans="1:11" ht="15.75" customHeight="1">
      <c r="A2105" s="69"/>
      <c r="B2105" s="69"/>
      <c r="C2105" s="69"/>
      <c r="D2105" s="69"/>
      <c r="E2105" s="69"/>
      <c r="F2105" s="69"/>
      <c r="G2105" s="58"/>
      <c r="H2105" s="2"/>
      <c r="I2105" s="2"/>
      <c r="J2105" s="2"/>
      <c r="K2105" s="1"/>
    </row>
    <row r="2106" spans="1:11" ht="15.75" customHeight="1">
      <c r="A2106" s="69"/>
      <c r="B2106" s="69"/>
      <c r="C2106" s="69"/>
      <c r="D2106" s="69"/>
      <c r="E2106" s="69"/>
      <c r="F2106" s="69"/>
      <c r="G2106" s="58"/>
      <c r="H2106" s="2"/>
      <c r="I2106" s="2"/>
      <c r="J2106" s="2"/>
      <c r="K2106" s="1"/>
    </row>
    <row r="2107" spans="1:11" ht="15.75" customHeight="1">
      <c r="A2107" s="69"/>
      <c r="B2107" s="69"/>
      <c r="C2107" s="69"/>
      <c r="D2107" s="69"/>
      <c r="E2107" s="69"/>
      <c r="F2107" s="69"/>
      <c r="G2107" s="58"/>
      <c r="H2107" s="2"/>
      <c r="I2107" s="2"/>
      <c r="J2107" s="2"/>
      <c r="K2107" s="1"/>
    </row>
    <row r="2108" spans="1:11" ht="15.75" customHeight="1">
      <c r="A2108" s="69"/>
      <c r="B2108" s="69"/>
      <c r="C2108" s="69"/>
      <c r="D2108" s="69"/>
      <c r="E2108" s="69"/>
      <c r="F2108" s="69"/>
      <c r="G2108" s="58"/>
      <c r="H2108" s="2"/>
      <c r="I2108" s="2"/>
      <c r="J2108" s="2"/>
      <c r="K2108" s="1"/>
    </row>
    <row r="2109" spans="1:11" ht="15.75" customHeight="1">
      <c r="A2109" s="69"/>
      <c r="B2109" s="69"/>
      <c r="C2109" s="69"/>
      <c r="D2109" s="69"/>
      <c r="E2109" s="69"/>
      <c r="F2109" s="69"/>
      <c r="G2109" s="58"/>
      <c r="H2109" s="2"/>
      <c r="I2109" s="2"/>
      <c r="J2109" s="2"/>
      <c r="K2109" s="1"/>
    </row>
    <row r="2110" spans="1:11" ht="15.75" customHeight="1">
      <c r="A2110" s="69"/>
      <c r="B2110" s="69"/>
      <c r="C2110" s="69"/>
      <c r="D2110" s="69"/>
      <c r="E2110" s="69"/>
      <c r="F2110" s="69"/>
      <c r="G2110" s="58"/>
      <c r="H2110" s="2"/>
      <c r="I2110" s="2"/>
      <c r="J2110" s="2"/>
      <c r="K2110" s="1"/>
    </row>
    <row r="2111" spans="1:11" ht="15.75" customHeight="1">
      <c r="A2111" s="69"/>
      <c r="B2111" s="69"/>
      <c r="C2111" s="69"/>
      <c r="D2111" s="69"/>
      <c r="E2111" s="69"/>
      <c r="F2111" s="69"/>
      <c r="G2111" s="58"/>
      <c r="H2111" s="2"/>
      <c r="I2111" s="2"/>
      <c r="J2111" s="2"/>
      <c r="K2111" s="1"/>
    </row>
    <row r="2112" spans="1:11" ht="15.75" customHeight="1">
      <c r="A2112" s="69"/>
      <c r="B2112" s="69"/>
      <c r="C2112" s="69"/>
      <c r="D2112" s="69"/>
      <c r="E2112" s="69"/>
      <c r="F2112" s="69"/>
      <c r="G2112" s="58"/>
      <c r="H2112" s="2"/>
      <c r="I2112" s="2"/>
      <c r="J2112" s="2"/>
      <c r="K2112" s="1"/>
    </row>
    <row r="2113" spans="1:11" ht="15.75" customHeight="1">
      <c r="A2113" s="69"/>
      <c r="B2113" s="69"/>
      <c r="C2113" s="69"/>
      <c r="D2113" s="69"/>
      <c r="E2113" s="69"/>
      <c r="F2113" s="69"/>
      <c r="G2113" s="58"/>
      <c r="H2113" s="2"/>
      <c r="I2113" s="2"/>
      <c r="J2113" s="2"/>
      <c r="K2113" s="1"/>
    </row>
    <row r="2114" spans="1:11" ht="15.75" customHeight="1">
      <c r="A2114" s="69"/>
      <c r="B2114" s="69"/>
      <c r="C2114" s="69"/>
      <c r="D2114" s="69"/>
      <c r="E2114" s="69"/>
      <c r="F2114" s="69"/>
      <c r="G2114" s="58"/>
      <c r="H2114" s="2"/>
      <c r="I2114" s="2"/>
      <c r="J2114" s="2"/>
      <c r="K2114" s="1"/>
    </row>
    <row r="2115" spans="1:11" ht="15.75" customHeight="1">
      <c r="A2115" s="69"/>
      <c r="B2115" s="69"/>
      <c r="C2115" s="69"/>
      <c r="D2115" s="69"/>
      <c r="E2115" s="69"/>
      <c r="F2115" s="69"/>
      <c r="G2115" s="58"/>
      <c r="H2115" s="2"/>
      <c r="I2115" s="2"/>
      <c r="J2115" s="2"/>
      <c r="K2115" s="1"/>
    </row>
    <row r="2116" spans="1:11" ht="15.75" customHeight="1">
      <c r="A2116" s="69"/>
      <c r="B2116" s="69"/>
      <c r="C2116" s="69"/>
      <c r="D2116" s="69"/>
      <c r="E2116" s="69"/>
      <c r="F2116" s="69"/>
      <c r="G2116" s="58"/>
      <c r="H2116" s="2"/>
      <c r="I2116" s="2"/>
      <c r="J2116" s="2"/>
      <c r="K2116" s="1"/>
    </row>
    <row r="2117" spans="1:11" ht="15.75" customHeight="1">
      <c r="A2117" s="69"/>
      <c r="B2117" s="69"/>
      <c r="C2117" s="69"/>
      <c r="D2117" s="69"/>
      <c r="E2117" s="69"/>
      <c r="F2117" s="69"/>
      <c r="G2117" s="58"/>
      <c r="H2117" s="2"/>
      <c r="I2117" s="2"/>
      <c r="J2117" s="2"/>
      <c r="K2117" s="1"/>
    </row>
    <row r="2118" spans="1:11" ht="15.75" customHeight="1">
      <c r="A2118" s="69"/>
      <c r="B2118" s="69"/>
      <c r="C2118" s="69"/>
      <c r="D2118" s="69"/>
      <c r="E2118" s="69"/>
      <c r="F2118" s="69"/>
      <c r="G2118" s="58"/>
      <c r="H2118" s="2"/>
      <c r="I2118" s="2"/>
      <c r="J2118" s="2"/>
      <c r="K2118" s="1"/>
    </row>
    <row r="2119" spans="1:11" ht="15.75" customHeight="1">
      <c r="A2119" s="69"/>
      <c r="B2119" s="69"/>
      <c r="C2119" s="69"/>
      <c r="D2119" s="69"/>
      <c r="E2119" s="69"/>
      <c r="F2119" s="69"/>
      <c r="G2119" s="58"/>
      <c r="H2119" s="2"/>
      <c r="I2119" s="2"/>
      <c r="J2119" s="2"/>
      <c r="K2119" s="1"/>
    </row>
    <row r="2120" spans="1:11" ht="15.75" customHeight="1">
      <c r="A2120" s="69"/>
      <c r="B2120" s="69"/>
      <c r="C2120" s="69"/>
      <c r="D2120" s="69"/>
      <c r="E2120" s="69"/>
      <c r="F2120" s="69"/>
      <c r="G2120" s="58"/>
      <c r="H2120" s="2"/>
      <c r="I2120" s="2"/>
      <c r="J2120" s="2"/>
      <c r="K2120" s="1"/>
    </row>
    <row r="2121" spans="1:11" ht="15.75" customHeight="1">
      <c r="A2121" s="69"/>
      <c r="B2121" s="69"/>
      <c r="C2121" s="69"/>
      <c r="D2121" s="69"/>
      <c r="E2121" s="69"/>
      <c r="F2121" s="69"/>
      <c r="G2121" s="58"/>
      <c r="H2121" s="2"/>
      <c r="I2121" s="2"/>
      <c r="J2121" s="2"/>
      <c r="K2121" s="1"/>
    </row>
    <row r="2122" spans="1:11" ht="15.75" customHeight="1">
      <c r="A2122" s="69"/>
      <c r="B2122" s="69"/>
      <c r="C2122" s="69"/>
      <c r="D2122" s="69"/>
      <c r="E2122" s="69"/>
      <c r="F2122" s="69"/>
      <c r="G2122" s="58"/>
      <c r="H2122" s="2"/>
      <c r="I2122" s="2"/>
      <c r="J2122" s="2"/>
      <c r="K2122" s="1"/>
    </row>
    <row r="2123" spans="1:11" ht="15.75" customHeight="1">
      <c r="A2123" s="69"/>
      <c r="B2123" s="69"/>
      <c r="C2123" s="69"/>
      <c r="D2123" s="69"/>
      <c r="E2123" s="69"/>
      <c r="F2123" s="69"/>
      <c r="G2123" s="58"/>
      <c r="H2123" s="2"/>
      <c r="I2123" s="2"/>
      <c r="J2123" s="2"/>
      <c r="K2123" s="1"/>
    </row>
    <row r="2124" spans="1:11" ht="15.75" customHeight="1">
      <c r="A2124" s="69"/>
      <c r="B2124" s="69"/>
      <c r="C2124" s="69"/>
      <c r="D2124" s="69"/>
      <c r="E2124" s="69"/>
      <c r="F2124" s="69"/>
      <c r="G2124" s="58"/>
      <c r="H2124" s="2"/>
      <c r="I2124" s="2"/>
      <c r="J2124" s="2"/>
      <c r="K2124" s="1"/>
    </row>
    <row r="2125" spans="1:11" ht="15.75" customHeight="1">
      <c r="A2125" s="69"/>
      <c r="B2125" s="69"/>
      <c r="C2125" s="69"/>
      <c r="D2125" s="69"/>
      <c r="E2125" s="69"/>
      <c r="F2125" s="69"/>
      <c r="G2125" s="58"/>
      <c r="H2125" s="2"/>
      <c r="I2125" s="2"/>
      <c r="J2125" s="2"/>
      <c r="K2125" s="1"/>
    </row>
    <row r="2126" spans="1:11" ht="15.75" customHeight="1">
      <c r="A2126" s="69"/>
      <c r="B2126" s="69"/>
      <c r="C2126" s="69"/>
      <c r="D2126" s="69"/>
      <c r="E2126" s="69"/>
      <c r="F2126" s="69"/>
      <c r="G2126" s="58"/>
      <c r="H2126" s="2"/>
      <c r="I2126" s="2"/>
      <c r="J2126" s="2"/>
      <c r="K2126" s="1"/>
    </row>
    <row r="2127" spans="1:11" ht="15.75" customHeight="1">
      <c r="A2127" s="69"/>
      <c r="B2127" s="69"/>
      <c r="C2127" s="69"/>
      <c r="D2127" s="69"/>
      <c r="E2127" s="69"/>
      <c r="F2127" s="69"/>
      <c r="G2127" s="58"/>
      <c r="H2127" s="2"/>
      <c r="I2127" s="2"/>
      <c r="J2127" s="2"/>
      <c r="K2127" s="1"/>
    </row>
    <row r="2128" spans="1:11" ht="15.75" customHeight="1">
      <c r="A2128" s="69"/>
      <c r="B2128" s="69"/>
      <c r="C2128" s="69"/>
      <c r="D2128" s="69"/>
      <c r="E2128" s="69"/>
      <c r="F2128" s="69"/>
      <c r="G2128" s="58"/>
      <c r="H2128" s="2"/>
      <c r="I2128" s="2"/>
      <c r="J2128" s="2"/>
      <c r="K2128" s="1"/>
    </row>
    <row r="2129" spans="1:11" ht="15.75" customHeight="1">
      <c r="A2129" s="69"/>
      <c r="B2129" s="69"/>
      <c r="C2129" s="69"/>
      <c r="D2129" s="69"/>
      <c r="E2129" s="69"/>
      <c r="F2129" s="69"/>
      <c r="G2129" s="58"/>
      <c r="H2129" s="2"/>
      <c r="I2129" s="2"/>
      <c r="J2129" s="2"/>
      <c r="K2129" s="1"/>
    </row>
    <row r="2130" spans="1:11" ht="15.75" customHeight="1">
      <c r="A2130" s="69"/>
      <c r="B2130" s="69"/>
      <c r="C2130" s="69"/>
      <c r="D2130" s="69"/>
      <c r="E2130" s="69"/>
      <c r="F2130" s="69"/>
      <c r="G2130" s="58"/>
      <c r="H2130" s="2"/>
      <c r="I2130" s="2"/>
      <c r="J2130" s="2"/>
      <c r="K2130" s="1"/>
    </row>
    <row r="2131" spans="1:11" ht="15.75" customHeight="1">
      <c r="A2131" s="69"/>
      <c r="B2131" s="69"/>
      <c r="C2131" s="69"/>
      <c r="D2131" s="69"/>
      <c r="E2131" s="69"/>
      <c r="F2131" s="69"/>
      <c r="G2131" s="58"/>
      <c r="H2131" s="2"/>
      <c r="I2131" s="2"/>
      <c r="J2131" s="2"/>
      <c r="K2131" s="1"/>
    </row>
    <row r="2132" spans="1:11" ht="15.75" customHeight="1">
      <c r="A2132" s="69"/>
      <c r="B2132" s="69"/>
      <c r="C2132" s="69"/>
      <c r="D2132" s="69"/>
      <c r="E2132" s="69"/>
      <c r="F2132" s="69"/>
      <c r="G2132" s="58"/>
      <c r="H2132" s="2"/>
      <c r="I2132" s="2"/>
      <c r="J2132" s="2"/>
      <c r="K2132" s="1"/>
    </row>
    <row r="2133" spans="1:11" ht="15.75" customHeight="1">
      <c r="A2133" s="69"/>
      <c r="B2133" s="69"/>
      <c r="C2133" s="69"/>
      <c r="D2133" s="69"/>
      <c r="E2133" s="69"/>
      <c r="F2133" s="69"/>
      <c r="G2133" s="58"/>
      <c r="H2133" s="2"/>
      <c r="I2133" s="2"/>
      <c r="J2133" s="2"/>
      <c r="K2133" s="1"/>
    </row>
    <row r="2134" spans="1:11" ht="15.75" customHeight="1">
      <c r="A2134" s="69"/>
      <c r="B2134" s="69"/>
      <c r="C2134" s="69"/>
      <c r="D2134" s="69"/>
      <c r="E2134" s="69"/>
      <c r="F2134" s="69"/>
      <c r="G2134" s="58"/>
      <c r="H2134" s="2"/>
      <c r="I2134" s="2"/>
      <c r="J2134" s="2"/>
      <c r="K2134" s="1"/>
    </row>
    <row r="2135" spans="1:11" ht="15.75" customHeight="1">
      <c r="A2135" s="69"/>
      <c r="B2135" s="69"/>
      <c r="C2135" s="69"/>
      <c r="D2135" s="69"/>
      <c r="E2135" s="69"/>
      <c r="F2135" s="69"/>
      <c r="G2135" s="58"/>
      <c r="H2135" s="2"/>
      <c r="I2135" s="2"/>
      <c r="J2135" s="2"/>
      <c r="K2135" s="1"/>
    </row>
    <row r="2136" spans="1:11" ht="15.75" customHeight="1">
      <c r="A2136" s="69"/>
      <c r="B2136" s="69"/>
      <c r="C2136" s="69"/>
      <c r="D2136" s="69"/>
      <c r="E2136" s="69"/>
      <c r="F2136" s="69"/>
      <c r="G2136" s="58"/>
      <c r="H2136" s="2"/>
      <c r="I2136" s="2"/>
      <c r="J2136" s="2"/>
      <c r="K2136" s="1"/>
    </row>
    <row r="2137" spans="1:11" ht="15.75" customHeight="1">
      <c r="A2137" s="69"/>
      <c r="B2137" s="69"/>
      <c r="C2137" s="69"/>
      <c r="D2137" s="69"/>
      <c r="E2137" s="69"/>
      <c r="F2137" s="69"/>
      <c r="G2137" s="58"/>
      <c r="H2137" s="2"/>
      <c r="I2137" s="2"/>
      <c r="J2137" s="2"/>
      <c r="K2137" s="1"/>
    </row>
    <row r="2138" spans="1:11" ht="15.75" customHeight="1">
      <c r="A2138" s="69"/>
      <c r="B2138" s="69"/>
      <c r="C2138" s="69"/>
      <c r="D2138" s="69"/>
      <c r="E2138" s="69"/>
      <c r="F2138" s="69"/>
      <c r="G2138" s="58"/>
      <c r="H2138" s="2"/>
      <c r="I2138" s="2"/>
      <c r="J2138" s="2"/>
      <c r="K2138" s="1"/>
    </row>
    <row r="2139" spans="1:11" ht="15.75" customHeight="1">
      <c r="A2139" s="69"/>
      <c r="B2139" s="69"/>
      <c r="C2139" s="69"/>
      <c r="D2139" s="69"/>
      <c r="E2139" s="69"/>
      <c r="F2139" s="69"/>
      <c r="G2139" s="58"/>
      <c r="H2139" s="2"/>
      <c r="I2139" s="2"/>
      <c r="J2139" s="2"/>
      <c r="K2139" s="1"/>
    </row>
    <row r="2140" spans="1:11" ht="15.75" customHeight="1">
      <c r="A2140" s="69"/>
      <c r="B2140" s="69"/>
      <c r="C2140" s="69"/>
      <c r="D2140" s="69"/>
      <c r="E2140" s="69"/>
      <c r="F2140" s="69"/>
      <c r="G2140" s="58"/>
      <c r="H2140" s="2"/>
      <c r="I2140" s="2"/>
      <c r="J2140" s="2"/>
      <c r="K2140" s="1"/>
    </row>
    <row r="2141" spans="1:11" ht="15.75" customHeight="1">
      <c r="A2141" s="69"/>
      <c r="B2141" s="69"/>
      <c r="C2141" s="69"/>
      <c r="D2141" s="69"/>
      <c r="E2141" s="69"/>
      <c r="F2141" s="69"/>
      <c r="G2141" s="58"/>
      <c r="H2141" s="2"/>
      <c r="I2141" s="2"/>
      <c r="J2141" s="2"/>
      <c r="K2141" s="1"/>
    </row>
    <row r="2142" spans="1:11" ht="15.75" customHeight="1">
      <c r="A2142" s="69"/>
      <c r="B2142" s="69"/>
      <c r="C2142" s="69"/>
      <c r="D2142" s="69"/>
      <c r="E2142" s="69"/>
      <c r="F2142" s="69"/>
      <c r="G2142" s="58"/>
      <c r="H2142" s="2"/>
      <c r="I2142" s="2"/>
      <c r="J2142" s="2"/>
      <c r="K2142" s="1"/>
    </row>
    <row r="2143" spans="1:11" ht="15.75" customHeight="1">
      <c r="A2143" s="69"/>
      <c r="B2143" s="69"/>
      <c r="C2143" s="69"/>
      <c r="D2143" s="69"/>
      <c r="E2143" s="69"/>
      <c r="F2143" s="69"/>
      <c r="G2143" s="58"/>
      <c r="H2143" s="2"/>
      <c r="I2143" s="2"/>
      <c r="J2143" s="2"/>
      <c r="K2143" s="1"/>
    </row>
    <row r="2144" spans="1:11" ht="15.75" customHeight="1">
      <c r="A2144" s="69"/>
      <c r="B2144" s="69"/>
      <c r="C2144" s="69"/>
      <c r="D2144" s="69"/>
      <c r="E2144" s="69"/>
      <c r="F2144" s="69"/>
      <c r="G2144" s="58"/>
      <c r="H2144" s="2"/>
      <c r="I2144" s="2"/>
      <c r="J2144" s="2"/>
      <c r="K2144" s="1"/>
    </row>
    <row r="2145" spans="1:11" ht="15.75" customHeight="1">
      <c r="A2145" s="69"/>
      <c r="B2145" s="69"/>
      <c r="C2145" s="69"/>
      <c r="D2145" s="69"/>
      <c r="E2145" s="69"/>
      <c r="F2145" s="69"/>
      <c r="G2145" s="58"/>
      <c r="H2145" s="2"/>
      <c r="I2145" s="2"/>
      <c r="J2145" s="2"/>
      <c r="K2145" s="1"/>
    </row>
    <row r="2146" spans="1:11" ht="15.75" customHeight="1">
      <c r="A2146" s="69"/>
      <c r="B2146" s="69"/>
      <c r="C2146" s="69"/>
      <c r="D2146" s="69"/>
      <c r="E2146" s="69"/>
      <c r="F2146" s="69"/>
      <c r="G2146" s="58"/>
      <c r="H2146" s="2"/>
      <c r="I2146" s="2"/>
      <c r="J2146" s="2"/>
      <c r="K2146" s="1"/>
    </row>
    <row r="2147" spans="1:11" ht="15.75" customHeight="1">
      <c r="A2147" s="69"/>
      <c r="B2147" s="69"/>
      <c r="C2147" s="69"/>
      <c r="D2147" s="69"/>
      <c r="E2147" s="69"/>
      <c r="F2147" s="69"/>
      <c r="G2147" s="58"/>
      <c r="H2147" s="2"/>
      <c r="I2147" s="2"/>
      <c r="J2147" s="2"/>
      <c r="K2147" s="1"/>
    </row>
    <row r="2148" spans="1:11" ht="15.75" customHeight="1">
      <c r="A2148" s="69"/>
      <c r="B2148" s="69"/>
      <c r="C2148" s="69"/>
      <c r="D2148" s="69"/>
      <c r="E2148" s="69"/>
      <c r="F2148" s="69"/>
      <c r="G2148" s="58"/>
      <c r="H2148" s="2"/>
      <c r="I2148" s="2"/>
      <c r="J2148" s="2"/>
      <c r="K2148" s="1"/>
    </row>
    <row r="2149" spans="1:11" ht="15.75" customHeight="1">
      <c r="A2149" s="69"/>
      <c r="B2149" s="69"/>
      <c r="C2149" s="69"/>
      <c r="D2149" s="69"/>
      <c r="E2149" s="69"/>
      <c r="F2149" s="69"/>
      <c r="G2149" s="58"/>
      <c r="H2149" s="2"/>
      <c r="I2149" s="2"/>
      <c r="J2149" s="2"/>
      <c r="K2149" s="1"/>
    </row>
    <row r="2150" spans="1:11" ht="15.75" customHeight="1">
      <c r="A2150" s="69"/>
      <c r="B2150" s="69"/>
      <c r="C2150" s="69"/>
      <c r="D2150" s="69"/>
      <c r="E2150" s="69"/>
      <c r="F2150" s="69"/>
      <c r="G2150" s="58"/>
      <c r="H2150" s="2"/>
      <c r="I2150" s="2"/>
      <c r="J2150" s="2"/>
      <c r="K2150" s="1"/>
    </row>
    <row r="2151" spans="1:11" ht="15.75" customHeight="1">
      <c r="A2151" s="69"/>
      <c r="B2151" s="69"/>
      <c r="C2151" s="69"/>
      <c r="D2151" s="69"/>
      <c r="E2151" s="69"/>
      <c r="F2151" s="69"/>
      <c r="G2151" s="58"/>
      <c r="H2151" s="2"/>
      <c r="I2151" s="2"/>
      <c r="J2151" s="2"/>
      <c r="K2151" s="1"/>
    </row>
    <row r="2152" spans="1:11" ht="15.75" customHeight="1">
      <c r="A2152" s="69"/>
      <c r="B2152" s="69"/>
      <c r="C2152" s="69"/>
      <c r="D2152" s="69"/>
      <c r="E2152" s="69"/>
      <c r="F2152" s="69"/>
      <c r="G2152" s="58"/>
      <c r="H2152" s="2"/>
      <c r="I2152" s="2"/>
      <c r="J2152" s="2"/>
      <c r="K2152" s="1"/>
    </row>
    <row r="2153" spans="1:11" ht="15.75" customHeight="1">
      <c r="A2153" s="69"/>
      <c r="B2153" s="69"/>
      <c r="C2153" s="69"/>
      <c r="D2153" s="69"/>
      <c r="E2153" s="69"/>
      <c r="F2153" s="69"/>
      <c r="G2153" s="58"/>
      <c r="H2153" s="2"/>
      <c r="I2153" s="2"/>
      <c r="J2153" s="2"/>
      <c r="K2153" s="1"/>
    </row>
    <row r="2154" spans="1:11" ht="15.75" customHeight="1">
      <c r="A2154" s="69"/>
      <c r="B2154" s="69"/>
      <c r="C2154" s="69"/>
      <c r="D2154" s="69"/>
      <c r="E2154" s="69"/>
      <c r="F2154" s="69"/>
      <c r="G2154" s="58"/>
      <c r="H2154" s="2"/>
      <c r="I2154" s="2"/>
      <c r="J2154" s="2"/>
      <c r="K2154" s="1"/>
    </row>
    <row r="2155" spans="1:11" ht="15.75" customHeight="1">
      <c r="A2155" s="69"/>
      <c r="B2155" s="69"/>
      <c r="C2155" s="69"/>
      <c r="D2155" s="69"/>
      <c r="E2155" s="69"/>
      <c r="F2155" s="69"/>
      <c r="G2155" s="58"/>
      <c r="H2155" s="2"/>
      <c r="I2155" s="2"/>
      <c r="J2155" s="2"/>
      <c r="K2155" s="1"/>
    </row>
    <row r="2156" spans="1:11" ht="15.75" customHeight="1">
      <c r="A2156" s="69"/>
      <c r="B2156" s="69"/>
      <c r="C2156" s="69"/>
      <c r="D2156" s="69"/>
      <c r="E2156" s="69"/>
      <c r="F2156" s="69"/>
      <c r="G2156" s="58"/>
      <c r="H2156" s="2"/>
      <c r="I2156" s="2"/>
      <c r="J2156" s="2"/>
      <c r="K2156" s="1"/>
    </row>
    <row r="2157" spans="1:11" ht="15.75" customHeight="1">
      <c r="A2157" s="69"/>
      <c r="B2157" s="69"/>
      <c r="C2157" s="69"/>
      <c r="D2157" s="69"/>
      <c r="E2157" s="69"/>
      <c r="F2157" s="69"/>
      <c r="G2157" s="58"/>
      <c r="H2157" s="2"/>
      <c r="I2157" s="2"/>
      <c r="J2157" s="2"/>
      <c r="K2157" s="1"/>
    </row>
    <row r="2158" spans="1:11" ht="15.75" customHeight="1">
      <c r="A2158" s="69"/>
      <c r="B2158" s="69"/>
      <c r="C2158" s="69"/>
      <c r="D2158" s="69"/>
      <c r="E2158" s="69"/>
      <c r="F2158" s="69"/>
      <c r="G2158" s="58"/>
      <c r="H2158" s="2"/>
      <c r="I2158" s="2"/>
      <c r="J2158" s="2"/>
      <c r="K2158" s="1"/>
    </row>
    <row r="2159" spans="1:11" ht="15.75" customHeight="1">
      <c r="A2159" s="69"/>
      <c r="B2159" s="69"/>
      <c r="C2159" s="69"/>
      <c r="D2159" s="69"/>
      <c r="E2159" s="69"/>
      <c r="F2159" s="69"/>
      <c r="G2159" s="58"/>
      <c r="H2159" s="2"/>
      <c r="I2159" s="2"/>
      <c r="J2159" s="2"/>
      <c r="K2159" s="1"/>
    </row>
    <row r="2160" spans="1:11" ht="15.75" customHeight="1">
      <c r="A2160" s="69"/>
      <c r="B2160" s="69"/>
      <c r="C2160" s="69"/>
      <c r="D2160" s="69"/>
      <c r="E2160" s="69"/>
      <c r="F2160" s="69"/>
      <c r="G2160" s="58"/>
      <c r="H2160" s="2"/>
      <c r="I2160" s="2"/>
      <c r="J2160" s="2"/>
      <c r="K2160" s="1"/>
    </row>
    <row r="2161" spans="1:11" ht="15.75" customHeight="1">
      <c r="A2161" s="69"/>
      <c r="B2161" s="69"/>
      <c r="C2161" s="69"/>
      <c r="D2161" s="69"/>
      <c r="E2161" s="69"/>
      <c r="F2161" s="69"/>
      <c r="G2161" s="58"/>
      <c r="H2161" s="2"/>
      <c r="I2161" s="2"/>
      <c r="J2161" s="2"/>
      <c r="K2161" s="1"/>
    </row>
    <row r="2162" spans="1:11" ht="15.75" customHeight="1">
      <c r="A2162" s="69"/>
      <c r="B2162" s="69"/>
      <c r="C2162" s="69"/>
      <c r="D2162" s="69"/>
      <c r="E2162" s="69"/>
      <c r="F2162" s="69"/>
      <c r="G2162" s="58"/>
      <c r="H2162" s="2"/>
      <c r="I2162" s="2"/>
      <c r="J2162" s="2"/>
      <c r="K2162" s="1"/>
    </row>
    <row r="2163" spans="1:11" ht="15.75" customHeight="1">
      <c r="A2163" s="69"/>
      <c r="B2163" s="69"/>
      <c r="C2163" s="69"/>
      <c r="D2163" s="69"/>
      <c r="E2163" s="69"/>
      <c r="F2163" s="69"/>
      <c r="G2163" s="58"/>
      <c r="H2163" s="2"/>
      <c r="I2163" s="2"/>
      <c r="J2163" s="2"/>
      <c r="K2163" s="1"/>
    </row>
    <row r="2164" spans="1:11" ht="15.75" customHeight="1">
      <c r="A2164" s="69"/>
      <c r="B2164" s="69"/>
      <c r="C2164" s="69"/>
      <c r="D2164" s="69"/>
      <c r="E2164" s="69"/>
      <c r="F2164" s="69"/>
      <c r="G2164" s="58"/>
      <c r="H2164" s="2"/>
      <c r="I2164" s="2"/>
      <c r="J2164" s="2"/>
      <c r="K2164" s="1"/>
    </row>
    <row r="2165" spans="1:11" ht="15.75" customHeight="1">
      <c r="A2165" s="69"/>
      <c r="B2165" s="69"/>
      <c r="C2165" s="69"/>
      <c r="D2165" s="69"/>
      <c r="E2165" s="69"/>
      <c r="F2165" s="69"/>
      <c r="G2165" s="58"/>
      <c r="H2165" s="2"/>
      <c r="I2165" s="2"/>
      <c r="J2165" s="2"/>
      <c r="K2165" s="1"/>
    </row>
    <row r="2166" spans="1:11" ht="15.75" customHeight="1">
      <c r="A2166" s="69"/>
      <c r="B2166" s="69"/>
      <c r="C2166" s="69"/>
      <c r="D2166" s="69"/>
      <c r="E2166" s="69"/>
      <c r="F2166" s="69"/>
      <c r="G2166" s="58"/>
      <c r="H2166" s="2"/>
      <c r="I2166" s="2"/>
      <c r="J2166" s="2"/>
      <c r="K2166" s="1"/>
    </row>
    <row r="2167" spans="1:11" ht="15.75" customHeight="1">
      <c r="A2167" s="69"/>
      <c r="B2167" s="69"/>
      <c r="C2167" s="69"/>
      <c r="D2167" s="69"/>
      <c r="E2167" s="69"/>
      <c r="F2167" s="69"/>
      <c r="G2167" s="58"/>
      <c r="H2167" s="2"/>
      <c r="I2167" s="2"/>
      <c r="J2167" s="2"/>
      <c r="K2167" s="1"/>
    </row>
    <row r="2168" spans="1:11" ht="15.75" customHeight="1">
      <c r="A2168" s="69"/>
      <c r="B2168" s="69"/>
      <c r="C2168" s="69"/>
      <c r="D2168" s="69"/>
      <c r="E2168" s="69"/>
      <c r="F2168" s="69"/>
      <c r="G2168" s="58"/>
      <c r="H2168" s="2"/>
      <c r="I2168" s="2"/>
      <c r="J2168" s="2"/>
      <c r="K2168" s="1"/>
    </row>
    <row r="2169" spans="1:11" ht="15.75" customHeight="1">
      <c r="A2169" s="69"/>
      <c r="B2169" s="69"/>
      <c r="C2169" s="69"/>
      <c r="D2169" s="69"/>
      <c r="E2169" s="69"/>
      <c r="F2169" s="69"/>
      <c r="G2169" s="58"/>
      <c r="H2169" s="2"/>
      <c r="I2169" s="2"/>
      <c r="J2169" s="2"/>
      <c r="K2169" s="1"/>
    </row>
    <row r="2170" spans="1:11" ht="15.75" customHeight="1">
      <c r="A2170" s="69"/>
      <c r="B2170" s="69"/>
      <c r="C2170" s="69"/>
      <c r="D2170" s="69"/>
      <c r="E2170" s="69"/>
      <c r="F2170" s="69"/>
      <c r="G2170" s="58"/>
      <c r="H2170" s="2"/>
      <c r="I2170" s="2"/>
      <c r="J2170" s="2"/>
      <c r="K2170" s="1"/>
    </row>
    <row r="2171" spans="1:11" ht="15.75" customHeight="1">
      <c r="A2171" s="69"/>
      <c r="B2171" s="69"/>
      <c r="C2171" s="69"/>
      <c r="D2171" s="69"/>
      <c r="E2171" s="69"/>
      <c r="F2171" s="69"/>
      <c r="G2171" s="58"/>
      <c r="H2171" s="2"/>
      <c r="I2171" s="2"/>
      <c r="J2171" s="2"/>
      <c r="K2171" s="1"/>
    </row>
    <row r="2172" spans="1:11" ht="15.75" customHeight="1">
      <c r="A2172" s="69"/>
      <c r="B2172" s="69"/>
      <c r="C2172" s="69"/>
      <c r="D2172" s="69"/>
      <c r="E2172" s="69"/>
      <c r="F2172" s="69"/>
      <c r="G2172" s="58"/>
      <c r="H2172" s="2"/>
      <c r="I2172" s="2"/>
      <c r="J2172" s="2"/>
      <c r="K2172" s="1"/>
    </row>
    <row r="2173" spans="1:11" ht="15.75" customHeight="1">
      <c r="A2173" s="69"/>
      <c r="B2173" s="69"/>
      <c r="C2173" s="69"/>
      <c r="D2173" s="69"/>
      <c r="E2173" s="69"/>
      <c r="F2173" s="69"/>
      <c r="G2173" s="58"/>
      <c r="H2173" s="2"/>
      <c r="I2173" s="2"/>
      <c r="J2173" s="2"/>
      <c r="K2173" s="1"/>
    </row>
    <row r="2174" spans="1:11" ht="15.75" customHeight="1">
      <c r="A2174" s="69"/>
      <c r="B2174" s="69"/>
      <c r="C2174" s="69"/>
      <c r="D2174" s="69"/>
      <c r="E2174" s="69"/>
      <c r="F2174" s="69"/>
      <c r="G2174" s="58"/>
      <c r="H2174" s="2"/>
      <c r="I2174" s="2"/>
      <c r="J2174" s="2"/>
      <c r="K2174" s="1"/>
    </row>
    <row r="2175" spans="1:11" ht="15.75" customHeight="1">
      <c r="A2175" s="69"/>
      <c r="B2175" s="69"/>
      <c r="C2175" s="69"/>
      <c r="D2175" s="69"/>
      <c r="E2175" s="69"/>
      <c r="F2175" s="69"/>
      <c r="G2175" s="58"/>
      <c r="H2175" s="2"/>
      <c r="I2175" s="2"/>
      <c r="J2175" s="2"/>
      <c r="K2175" s="1"/>
    </row>
    <row r="2176" spans="1:11" ht="15.75" customHeight="1">
      <c r="A2176" s="69"/>
      <c r="B2176" s="69"/>
      <c r="C2176" s="69"/>
      <c r="D2176" s="69"/>
      <c r="E2176" s="69"/>
      <c r="F2176" s="69"/>
      <c r="G2176" s="58"/>
      <c r="H2176" s="2"/>
      <c r="I2176" s="2"/>
      <c r="J2176" s="2"/>
      <c r="K2176" s="1"/>
    </row>
    <row r="2177" spans="1:11" ht="15.75" customHeight="1">
      <c r="A2177" s="69"/>
      <c r="B2177" s="69"/>
      <c r="C2177" s="69"/>
      <c r="D2177" s="69"/>
      <c r="E2177" s="69"/>
      <c r="F2177" s="69"/>
      <c r="G2177" s="58"/>
      <c r="H2177" s="2"/>
      <c r="I2177" s="2"/>
      <c r="J2177" s="2"/>
      <c r="K2177" s="1"/>
    </row>
    <row r="2178" spans="1:11" ht="15.75" customHeight="1">
      <c r="A2178" s="69"/>
      <c r="B2178" s="69"/>
      <c r="C2178" s="69"/>
      <c r="D2178" s="69"/>
      <c r="E2178" s="69"/>
      <c r="F2178" s="69"/>
      <c r="G2178" s="58"/>
      <c r="H2178" s="2"/>
      <c r="I2178" s="2"/>
      <c r="J2178" s="2"/>
      <c r="K2178" s="1"/>
    </row>
    <row r="2179" spans="1:11" ht="15.75" customHeight="1">
      <c r="A2179" s="69"/>
      <c r="B2179" s="69"/>
      <c r="C2179" s="69"/>
      <c r="D2179" s="69"/>
      <c r="E2179" s="69"/>
      <c r="F2179" s="69"/>
      <c r="G2179" s="58"/>
      <c r="H2179" s="2"/>
      <c r="I2179" s="2"/>
      <c r="J2179" s="2"/>
      <c r="K2179" s="1"/>
    </row>
    <row r="2180" spans="1:11" ht="15.75" customHeight="1">
      <c r="A2180" s="69"/>
      <c r="B2180" s="69"/>
      <c r="C2180" s="69"/>
      <c r="D2180" s="69"/>
      <c r="E2180" s="69"/>
      <c r="F2180" s="69"/>
      <c r="G2180" s="58"/>
      <c r="H2180" s="2"/>
      <c r="I2180" s="2"/>
      <c r="J2180" s="2"/>
      <c r="K2180" s="1"/>
    </row>
    <row r="2181" spans="1:11" ht="15.75" customHeight="1">
      <c r="A2181" s="69"/>
      <c r="B2181" s="69"/>
      <c r="C2181" s="69"/>
      <c r="D2181" s="69"/>
      <c r="E2181" s="69"/>
      <c r="F2181" s="69"/>
      <c r="G2181" s="58"/>
      <c r="H2181" s="2"/>
      <c r="I2181" s="2"/>
      <c r="J2181" s="2"/>
      <c r="K2181" s="1"/>
    </row>
    <row r="2182" spans="1:11" ht="15.75" customHeight="1">
      <c r="A2182" s="69"/>
      <c r="B2182" s="69"/>
      <c r="C2182" s="69"/>
      <c r="D2182" s="69"/>
      <c r="E2182" s="69"/>
      <c r="F2182" s="69"/>
      <c r="G2182" s="58"/>
      <c r="H2182" s="2"/>
      <c r="I2182" s="2"/>
      <c r="J2182" s="2"/>
      <c r="K2182" s="1"/>
    </row>
    <row r="2183" spans="1:11" ht="15.75" customHeight="1">
      <c r="A2183" s="69"/>
      <c r="B2183" s="69"/>
      <c r="C2183" s="69"/>
      <c r="D2183" s="69"/>
      <c r="E2183" s="69"/>
      <c r="F2183" s="69"/>
      <c r="G2183" s="58"/>
      <c r="H2183" s="2"/>
      <c r="I2183" s="2"/>
      <c r="J2183" s="2"/>
      <c r="K2183" s="1"/>
    </row>
    <row r="2184" spans="1:11" ht="15.75" customHeight="1">
      <c r="A2184" s="69"/>
      <c r="B2184" s="69"/>
      <c r="C2184" s="69"/>
      <c r="D2184" s="69"/>
      <c r="E2184" s="69"/>
      <c r="F2184" s="69"/>
      <c r="G2184" s="58"/>
      <c r="H2184" s="2"/>
      <c r="I2184" s="2"/>
      <c r="J2184" s="2"/>
      <c r="K2184" s="1"/>
    </row>
    <row r="2185" spans="1:11" ht="15.75" customHeight="1">
      <c r="A2185" s="69"/>
      <c r="B2185" s="69"/>
      <c r="C2185" s="69"/>
      <c r="D2185" s="69"/>
      <c r="E2185" s="69"/>
      <c r="F2185" s="69"/>
      <c r="G2185" s="58"/>
      <c r="H2185" s="2"/>
      <c r="I2185" s="2"/>
      <c r="J2185" s="2"/>
      <c r="K2185" s="1"/>
    </row>
    <row r="2186" spans="1:11" ht="15.75" customHeight="1">
      <c r="A2186" s="69"/>
      <c r="B2186" s="69"/>
      <c r="C2186" s="69"/>
      <c r="D2186" s="69"/>
      <c r="E2186" s="69"/>
      <c r="F2186" s="69"/>
      <c r="G2186" s="58"/>
      <c r="H2186" s="2"/>
      <c r="I2186" s="2"/>
      <c r="J2186" s="2"/>
      <c r="K2186" s="1"/>
    </row>
    <row r="2187" spans="1:11" ht="15.75" customHeight="1">
      <c r="A2187" s="69"/>
      <c r="B2187" s="69"/>
      <c r="C2187" s="69"/>
      <c r="D2187" s="69"/>
      <c r="E2187" s="69"/>
      <c r="F2187" s="69"/>
      <c r="G2187" s="58"/>
      <c r="H2187" s="2"/>
      <c r="I2187" s="2"/>
      <c r="J2187" s="2"/>
      <c r="K2187" s="1"/>
    </row>
    <row r="2188" spans="1:11" ht="15.75" customHeight="1">
      <c r="A2188" s="69"/>
      <c r="B2188" s="69"/>
      <c r="C2188" s="69"/>
      <c r="D2188" s="69"/>
      <c r="E2188" s="69"/>
      <c r="F2188" s="69"/>
      <c r="G2188" s="58"/>
      <c r="H2188" s="2"/>
      <c r="I2188" s="2"/>
      <c r="J2188" s="2"/>
      <c r="K2188" s="1"/>
    </row>
    <row r="2189" spans="1:11" ht="15.75" customHeight="1">
      <c r="A2189" s="69"/>
      <c r="B2189" s="69"/>
      <c r="C2189" s="69"/>
      <c r="D2189" s="69"/>
      <c r="E2189" s="69"/>
      <c r="F2189" s="69"/>
      <c r="G2189" s="58"/>
      <c r="H2189" s="2"/>
      <c r="I2189" s="2"/>
      <c r="J2189" s="2"/>
      <c r="K2189" s="1"/>
    </row>
    <row r="2190" spans="1:11" ht="15.75" customHeight="1">
      <c r="A2190" s="69"/>
      <c r="B2190" s="69"/>
      <c r="C2190" s="69"/>
      <c r="D2190" s="69"/>
      <c r="E2190" s="69"/>
      <c r="F2190" s="69"/>
      <c r="G2190" s="58"/>
      <c r="H2190" s="2"/>
      <c r="I2190" s="2"/>
      <c r="J2190" s="2"/>
      <c r="K2190" s="1"/>
    </row>
    <row r="2191" spans="1:11" ht="15.75" customHeight="1">
      <c r="A2191" s="69"/>
      <c r="B2191" s="69"/>
      <c r="C2191" s="69"/>
      <c r="D2191" s="69"/>
      <c r="E2191" s="69"/>
      <c r="F2191" s="69"/>
      <c r="G2191" s="58"/>
      <c r="H2191" s="2"/>
      <c r="I2191" s="2"/>
      <c r="J2191" s="2"/>
      <c r="K2191" s="1"/>
    </row>
    <row r="2192" spans="1:11" ht="15.75" customHeight="1">
      <c r="A2192" s="69"/>
      <c r="B2192" s="69"/>
      <c r="C2192" s="69"/>
      <c r="D2192" s="69"/>
      <c r="E2192" s="69"/>
      <c r="F2192" s="69"/>
      <c r="G2192" s="58"/>
      <c r="H2192" s="2"/>
      <c r="I2192" s="2"/>
      <c r="J2192" s="2"/>
      <c r="K2192" s="1"/>
    </row>
    <row r="2193" spans="1:11" ht="15.75" customHeight="1">
      <c r="A2193" s="69"/>
      <c r="B2193" s="69"/>
      <c r="C2193" s="69"/>
      <c r="D2193" s="69"/>
      <c r="E2193" s="69"/>
      <c r="F2193" s="69"/>
      <c r="G2193" s="58"/>
      <c r="H2193" s="2"/>
      <c r="I2193" s="2"/>
      <c r="J2193" s="2"/>
      <c r="K2193" s="1"/>
    </row>
    <row r="2194" spans="1:11" ht="15.75" customHeight="1">
      <c r="A2194" s="69"/>
      <c r="B2194" s="69"/>
      <c r="C2194" s="69"/>
      <c r="D2194" s="69"/>
      <c r="E2194" s="69"/>
      <c r="F2194" s="69"/>
      <c r="G2194" s="58"/>
      <c r="H2194" s="2"/>
      <c r="I2194" s="2"/>
      <c r="J2194" s="2"/>
      <c r="K2194" s="1"/>
    </row>
    <row r="2195" spans="1:11" ht="15.75" customHeight="1">
      <c r="A2195" s="69"/>
      <c r="B2195" s="69"/>
      <c r="C2195" s="69"/>
      <c r="D2195" s="69"/>
      <c r="E2195" s="69"/>
      <c r="F2195" s="69"/>
      <c r="G2195" s="58"/>
      <c r="H2195" s="2"/>
      <c r="I2195" s="2"/>
      <c r="J2195" s="2"/>
      <c r="K2195" s="1"/>
    </row>
    <row r="2196" spans="1:11" ht="15.75" customHeight="1">
      <c r="A2196" s="69"/>
      <c r="B2196" s="69"/>
      <c r="C2196" s="69"/>
      <c r="D2196" s="69"/>
      <c r="E2196" s="69"/>
      <c r="F2196" s="69"/>
      <c r="G2196" s="58"/>
      <c r="H2196" s="2"/>
      <c r="I2196" s="2"/>
      <c r="J2196" s="2"/>
      <c r="K2196" s="1"/>
    </row>
    <row r="2197" spans="1:11" ht="15.75" customHeight="1">
      <c r="A2197" s="69"/>
      <c r="B2197" s="69"/>
      <c r="C2197" s="69"/>
      <c r="D2197" s="69"/>
      <c r="E2197" s="69"/>
      <c r="F2197" s="69"/>
      <c r="G2197" s="58"/>
      <c r="H2197" s="2"/>
      <c r="I2197" s="2"/>
      <c r="J2197" s="2"/>
      <c r="K2197" s="1"/>
    </row>
    <row r="2198" spans="1:11" ht="15.75" customHeight="1">
      <c r="A2198" s="69"/>
      <c r="B2198" s="69"/>
      <c r="C2198" s="69"/>
      <c r="D2198" s="69"/>
      <c r="E2198" s="69"/>
      <c r="F2198" s="69"/>
      <c r="G2198" s="58"/>
      <c r="H2198" s="2"/>
      <c r="I2198" s="2"/>
      <c r="J2198" s="2"/>
      <c r="K2198" s="1"/>
    </row>
    <row r="2199" spans="1:11" ht="15.75" customHeight="1">
      <c r="A2199" s="69"/>
      <c r="B2199" s="69"/>
      <c r="C2199" s="69"/>
      <c r="D2199" s="69"/>
      <c r="E2199" s="69"/>
      <c r="F2199" s="69"/>
      <c r="G2199" s="58"/>
      <c r="H2199" s="2"/>
      <c r="I2199" s="2"/>
      <c r="J2199" s="2"/>
      <c r="K2199" s="1"/>
    </row>
    <row r="2200" spans="1:11" ht="15.75" customHeight="1">
      <c r="A2200" s="69"/>
      <c r="B2200" s="69"/>
      <c r="C2200" s="69"/>
      <c r="D2200" s="69"/>
      <c r="E2200" s="69"/>
      <c r="F2200" s="69"/>
      <c r="G2200" s="58"/>
      <c r="H2200" s="2"/>
      <c r="I2200" s="2"/>
      <c r="J2200" s="2"/>
      <c r="K2200" s="1"/>
    </row>
    <row r="2201" spans="1:11" ht="15.75" customHeight="1">
      <c r="A2201" s="69"/>
      <c r="B2201" s="69"/>
      <c r="C2201" s="69"/>
      <c r="D2201" s="69"/>
      <c r="E2201" s="69"/>
      <c r="F2201" s="69"/>
      <c r="G2201" s="58"/>
      <c r="H2201" s="2"/>
      <c r="I2201" s="2"/>
      <c r="J2201" s="2"/>
      <c r="K2201" s="1"/>
    </row>
    <row r="2202" spans="1:11" ht="15.75" customHeight="1">
      <c r="A2202" s="69"/>
      <c r="B2202" s="69"/>
      <c r="C2202" s="69"/>
      <c r="D2202" s="69"/>
      <c r="E2202" s="69"/>
      <c r="F2202" s="69"/>
      <c r="G2202" s="58"/>
      <c r="H2202" s="2"/>
      <c r="I2202" s="2"/>
      <c r="J2202" s="2"/>
      <c r="K2202" s="1"/>
    </row>
    <row r="2203" spans="1:11" ht="15.75" customHeight="1">
      <c r="A2203" s="69"/>
      <c r="B2203" s="69"/>
      <c r="C2203" s="69"/>
      <c r="D2203" s="69"/>
      <c r="E2203" s="69"/>
      <c r="F2203" s="69"/>
      <c r="G2203" s="58"/>
      <c r="H2203" s="2"/>
      <c r="I2203" s="2"/>
      <c r="J2203" s="2"/>
      <c r="K2203" s="1"/>
    </row>
    <row r="2204" spans="1:11" ht="15.75" customHeight="1">
      <c r="A2204" s="69"/>
      <c r="B2204" s="69"/>
      <c r="C2204" s="69"/>
      <c r="D2204" s="69"/>
      <c r="E2204" s="69"/>
      <c r="F2204" s="69"/>
      <c r="G2204" s="58"/>
      <c r="H2204" s="2"/>
      <c r="I2204" s="2"/>
      <c r="J2204" s="2"/>
      <c r="K2204" s="1"/>
    </row>
    <row r="2205" spans="1:11" ht="15.75" customHeight="1">
      <c r="A2205" s="69"/>
      <c r="B2205" s="69"/>
      <c r="C2205" s="69"/>
      <c r="D2205" s="69"/>
      <c r="E2205" s="69"/>
      <c r="F2205" s="69"/>
      <c r="G2205" s="58"/>
      <c r="H2205" s="2"/>
      <c r="I2205" s="2"/>
      <c r="J2205" s="2"/>
      <c r="K2205" s="1"/>
    </row>
    <row r="2206" spans="1:11" ht="15.75" customHeight="1">
      <c r="A2206" s="69"/>
      <c r="B2206" s="69"/>
      <c r="C2206" s="69"/>
      <c r="D2206" s="69"/>
      <c r="E2206" s="69"/>
      <c r="F2206" s="69"/>
      <c r="G2206" s="58"/>
      <c r="H2206" s="2"/>
      <c r="I2206" s="2"/>
      <c r="J2206" s="2"/>
      <c r="K2206" s="1"/>
    </row>
    <row r="2207" spans="1:11" ht="15.75" customHeight="1">
      <c r="A2207" s="69"/>
      <c r="B2207" s="69"/>
      <c r="C2207" s="69"/>
      <c r="D2207" s="69"/>
      <c r="E2207" s="69"/>
      <c r="F2207" s="69"/>
      <c r="G2207" s="58"/>
      <c r="H2207" s="2"/>
      <c r="I2207" s="2"/>
      <c r="J2207" s="2"/>
      <c r="K2207" s="1"/>
    </row>
    <row r="2208" spans="1:11" ht="15.75" customHeight="1">
      <c r="A2208" s="69"/>
      <c r="B2208" s="69"/>
      <c r="C2208" s="69"/>
      <c r="D2208" s="69"/>
      <c r="E2208" s="69"/>
      <c r="F2208" s="69"/>
      <c r="G2208" s="58"/>
      <c r="H2208" s="2"/>
      <c r="I2208" s="2"/>
      <c r="J2208" s="2"/>
      <c r="K2208" s="1"/>
    </row>
    <row r="2209" spans="1:11" ht="15.75" customHeight="1">
      <c r="A2209" s="69"/>
      <c r="B2209" s="69"/>
      <c r="C2209" s="69"/>
      <c r="D2209" s="69"/>
      <c r="E2209" s="69"/>
      <c r="F2209" s="69"/>
      <c r="G2209" s="58"/>
      <c r="H2209" s="2"/>
      <c r="I2209" s="2"/>
      <c r="J2209" s="2"/>
      <c r="K2209" s="1"/>
    </row>
    <row r="2210" spans="1:11" ht="15.75" customHeight="1">
      <c r="A2210" s="69"/>
      <c r="B2210" s="69"/>
      <c r="C2210" s="69"/>
      <c r="D2210" s="69"/>
      <c r="E2210" s="69"/>
      <c r="F2210" s="69"/>
      <c r="G2210" s="58"/>
      <c r="H2210" s="2"/>
      <c r="I2210" s="2"/>
      <c r="J2210" s="2"/>
      <c r="K2210" s="1"/>
    </row>
    <row r="2211" spans="1:11" ht="15.75" customHeight="1">
      <c r="A2211" s="69"/>
      <c r="B2211" s="69"/>
      <c r="C2211" s="69"/>
      <c r="D2211" s="69"/>
      <c r="E2211" s="69"/>
      <c r="F2211" s="69"/>
      <c r="G2211" s="58"/>
      <c r="H2211" s="2"/>
      <c r="I2211" s="2"/>
      <c r="J2211" s="2"/>
      <c r="K2211" s="1"/>
    </row>
    <row r="2212" spans="1:11" ht="15.75" customHeight="1">
      <c r="A2212" s="69"/>
      <c r="B2212" s="69"/>
      <c r="C2212" s="69"/>
      <c r="D2212" s="69"/>
      <c r="E2212" s="69"/>
      <c r="F2212" s="69"/>
      <c r="G2212" s="58"/>
      <c r="H2212" s="2"/>
      <c r="I2212" s="2"/>
      <c r="J2212" s="2"/>
      <c r="K2212" s="1"/>
    </row>
    <row r="2213" spans="1:11" ht="15.75" customHeight="1">
      <c r="A2213" s="69"/>
      <c r="B2213" s="69"/>
      <c r="C2213" s="69"/>
      <c r="D2213" s="69"/>
      <c r="E2213" s="69"/>
      <c r="F2213" s="69"/>
      <c r="G2213" s="58"/>
      <c r="H2213" s="2"/>
      <c r="I2213" s="2"/>
      <c r="J2213" s="2"/>
      <c r="K2213" s="1"/>
    </row>
    <row r="2214" spans="1:11" ht="15.75" customHeight="1">
      <c r="A2214" s="69"/>
      <c r="B2214" s="69"/>
      <c r="C2214" s="69"/>
      <c r="D2214" s="69"/>
      <c r="E2214" s="69"/>
      <c r="F2214" s="69"/>
      <c r="G2214" s="58"/>
      <c r="H2214" s="2"/>
      <c r="I2214" s="2"/>
      <c r="J2214" s="2"/>
      <c r="K2214" s="1"/>
    </row>
    <row r="2215" spans="1:11" ht="15.75" customHeight="1">
      <c r="A2215" s="69"/>
      <c r="B2215" s="69"/>
      <c r="C2215" s="69"/>
      <c r="D2215" s="69"/>
      <c r="E2215" s="69"/>
      <c r="F2215" s="69"/>
      <c r="G2215" s="58"/>
      <c r="H2215" s="2"/>
      <c r="I2215" s="2"/>
      <c r="J2215" s="2"/>
      <c r="K2215" s="1"/>
    </row>
    <row r="2216" spans="1:11" ht="15.75" customHeight="1">
      <c r="A2216" s="69"/>
      <c r="B2216" s="69"/>
      <c r="C2216" s="69"/>
      <c r="D2216" s="69"/>
      <c r="E2216" s="69"/>
      <c r="F2216" s="69"/>
      <c r="G2216" s="58"/>
      <c r="H2216" s="2"/>
      <c r="I2216" s="2"/>
      <c r="J2216" s="2"/>
      <c r="K2216" s="1"/>
    </row>
    <row r="2217" spans="1:11" ht="15.75" customHeight="1">
      <c r="A2217" s="69"/>
      <c r="B2217" s="69"/>
      <c r="C2217" s="69"/>
      <c r="D2217" s="69"/>
      <c r="E2217" s="69"/>
      <c r="F2217" s="69"/>
      <c r="G2217" s="58"/>
      <c r="H2217" s="2"/>
      <c r="I2217" s="2"/>
      <c r="J2217" s="2"/>
      <c r="K2217" s="1"/>
    </row>
    <row r="2218" spans="1:11" ht="15.75" customHeight="1">
      <c r="A2218" s="69"/>
      <c r="B2218" s="69"/>
      <c r="C2218" s="69"/>
      <c r="D2218" s="69"/>
      <c r="E2218" s="69"/>
      <c r="F2218" s="69"/>
      <c r="G2218" s="58"/>
      <c r="H2218" s="2"/>
      <c r="I2218" s="2"/>
      <c r="J2218" s="2"/>
      <c r="K2218" s="1"/>
    </row>
    <row r="2219" spans="1:11" ht="15.75" customHeight="1">
      <c r="A2219" s="69"/>
      <c r="B2219" s="69"/>
      <c r="C2219" s="69"/>
      <c r="D2219" s="69"/>
      <c r="E2219" s="69"/>
      <c r="F2219" s="69"/>
      <c r="G2219" s="58"/>
      <c r="H2219" s="2"/>
      <c r="I2219" s="2"/>
      <c r="J2219" s="2"/>
      <c r="K2219" s="1"/>
    </row>
    <row r="2220" spans="1:11" ht="15.75" customHeight="1">
      <c r="A2220" s="69"/>
      <c r="B2220" s="69"/>
      <c r="C2220" s="69"/>
      <c r="D2220" s="69"/>
      <c r="E2220" s="69"/>
      <c r="F2220" s="69"/>
      <c r="G2220" s="58"/>
      <c r="H2220" s="2"/>
      <c r="I2220" s="2"/>
      <c r="J2220" s="2"/>
      <c r="K2220" s="1"/>
    </row>
    <row r="2221" spans="1:11" ht="15.75" customHeight="1">
      <c r="A2221" s="69"/>
      <c r="B2221" s="69"/>
      <c r="C2221" s="69"/>
      <c r="D2221" s="69"/>
      <c r="E2221" s="69"/>
      <c r="F2221" s="69"/>
      <c r="G2221" s="58"/>
      <c r="H2221" s="2"/>
      <c r="I2221" s="2"/>
      <c r="J2221" s="2"/>
      <c r="K2221" s="1"/>
    </row>
    <row r="2222" spans="1:11" ht="15.75" customHeight="1">
      <c r="A2222" s="69"/>
      <c r="B2222" s="69"/>
      <c r="C2222" s="69"/>
      <c r="D2222" s="69"/>
      <c r="E2222" s="69"/>
      <c r="F2222" s="69"/>
      <c r="G2222" s="58"/>
      <c r="H2222" s="2"/>
      <c r="I2222" s="2"/>
      <c r="J2222" s="2"/>
      <c r="K2222" s="1"/>
    </row>
    <row r="2223" spans="1:11" ht="15.75" customHeight="1">
      <c r="A2223" s="69"/>
      <c r="B2223" s="69"/>
      <c r="C2223" s="69"/>
      <c r="D2223" s="69"/>
      <c r="E2223" s="69"/>
      <c r="F2223" s="69"/>
      <c r="G2223" s="58"/>
      <c r="H2223" s="2"/>
      <c r="I2223" s="2"/>
      <c r="J2223" s="2"/>
      <c r="K2223" s="1"/>
    </row>
    <row r="2224" spans="1:11" ht="15.75" customHeight="1">
      <c r="A2224" s="69"/>
      <c r="B2224" s="69"/>
      <c r="C2224" s="69"/>
      <c r="D2224" s="69"/>
      <c r="E2224" s="69"/>
      <c r="F2224" s="69"/>
      <c r="G2224" s="58"/>
      <c r="H2224" s="2"/>
      <c r="I2224" s="2"/>
      <c r="J2224" s="2"/>
      <c r="K2224" s="1"/>
    </row>
    <row r="2225" spans="1:11" ht="15.75" customHeight="1">
      <c r="A2225" s="69"/>
      <c r="B2225" s="69"/>
      <c r="C2225" s="69"/>
      <c r="D2225" s="69"/>
      <c r="E2225" s="69"/>
      <c r="F2225" s="69"/>
      <c r="G2225" s="58"/>
      <c r="H2225" s="2"/>
      <c r="I2225" s="2"/>
      <c r="J2225" s="2"/>
      <c r="K2225" s="1"/>
    </row>
    <row r="2226" spans="1:11" ht="15.75" customHeight="1">
      <c r="A2226" s="69"/>
      <c r="B2226" s="69"/>
      <c r="C2226" s="69"/>
      <c r="D2226" s="69"/>
      <c r="E2226" s="69"/>
      <c r="F2226" s="69"/>
      <c r="G2226" s="58"/>
      <c r="H2226" s="2"/>
      <c r="I2226" s="2"/>
      <c r="J2226" s="2"/>
      <c r="K2226" s="1"/>
    </row>
    <row r="2227" spans="1:11" ht="15.75" customHeight="1">
      <c r="A2227" s="69"/>
      <c r="B2227" s="69"/>
      <c r="C2227" s="69"/>
      <c r="D2227" s="69"/>
      <c r="E2227" s="69"/>
      <c r="F2227" s="69"/>
      <c r="G2227" s="58"/>
      <c r="H2227" s="2"/>
      <c r="I2227" s="2"/>
      <c r="J2227" s="2"/>
      <c r="K2227" s="1"/>
    </row>
    <row r="2228" spans="1:11" ht="15.75" customHeight="1">
      <c r="A2228" s="69"/>
      <c r="B2228" s="69"/>
      <c r="C2228" s="69"/>
      <c r="D2228" s="69"/>
      <c r="E2228" s="69"/>
      <c r="F2228" s="69"/>
      <c r="G2228" s="58"/>
      <c r="H2228" s="2"/>
      <c r="I2228" s="2"/>
      <c r="J2228" s="2"/>
      <c r="K2228" s="1"/>
    </row>
    <row r="2229" spans="1:11" ht="15.75" customHeight="1">
      <c r="A2229" s="69"/>
      <c r="B2229" s="69"/>
      <c r="C2229" s="69"/>
      <c r="D2229" s="69"/>
      <c r="E2229" s="69"/>
      <c r="F2229" s="69"/>
      <c r="G2229" s="58"/>
      <c r="H2229" s="2"/>
      <c r="I2229" s="2"/>
      <c r="J2229" s="2"/>
      <c r="K2229" s="1"/>
    </row>
    <row r="2230" spans="1:11" ht="15.75" customHeight="1">
      <c r="A2230" s="69"/>
      <c r="B2230" s="69"/>
      <c r="C2230" s="69"/>
      <c r="D2230" s="69"/>
      <c r="E2230" s="69"/>
      <c r="F2230" s="69"/>
      <c r="G2230" s="58"/>
      <c r="H2230" s="2"/>
      <c r="I2230" s="2"/>
      <c r="J2230" s="2"/>
      <c r="K2230" s="1"/>
    </row>
    <row r="2231" spans="1:11" ht="15.75" customHeight="1">
      <c r="A2231" s="69"/>
      <c r="B2231" s="69"/>
      <c r="C2231" s="69"/>
      <c r="D2231" s="69"/>
      <c r="E2231" s="69"/>
      <c r="F2231" s="69"/>
      <c r="G2231" s="58"/>
      <c r="H2231" s="2"/>
      <c r="I2231" s="2"/>
      <c r="J2231" s="2"/>
      <c r="K2231" s="1"/>
    </row>
    <row r="2232" spans="1:11" ht="15.75" customHeight="1">
      <c r="A2232" s="69"/>
      <c r="B2232" s="69"/>
      <c r="C2232" s="69"/>
      <c r="D2232" s="69"/>
      <c r="E2232" s="69"/>
      <c r="F2232" s="69"/>
      <c r="G2232" s="58"/>
      <c r="H2232" s="2"/>
      <c r="I2232" s="2"/>
      <c r="J2232" s="2"/>
      <c r="K2232" s="1"/>
    </row>
    <row r="2233" spans="1:11" ht="15.75" customHeight="1">
      <c r="A2233" s="69"/>
      <c r="B2233" s="69"/>
      <c r="C2233" s="69"/>
      <c r="D2233" s="69"/>
      <c r="E2233" s="69"/>
      <c r="F2233" s="69"/>
      <c r="G2233" s="58"/>
      <c r="H2233" s="2"/>
      <c r="I2233" s="2"/>
      <c r="J2233" s="2"/>
      <c r="K2233" s="1"/>
    </row>
    <row r="2234" spans="1:11" ht="15.75" customHeight="1">
      <c r="A2234" s="69"/>
      <c r="B2234" s="69"/>
      <c r="C2234" s="69"/>
      <c r="D2234" s="69"/>
      <c r="E2234" s="69"/>
      <c r="F2234" s="69"/>
      <c r="G2234" s="58"/>
      <c r="H2234" s="2"/>
      <c r="I2234" s="2"/>
      <c r="J2234" s="2"/>
      <c r="K2234" s="1"/>
    </row>
    <row r="2235" spans="1:11" ht="15.75" customHeight="1">
      <c r="A2235" s="69"/>
      <c r="B2235" s="69"/>
      <c r="C2235" s="69"/>
      <c r="D2235" s="69"/>
      <c r="E2235" s="69"/>
      <c r="F2235" s="69"/>
      <c r="G2235" s="58"/>
      <c r="H2235" s="2"/>
      <c r="I2235" s="2"/>
      <c r="J2235" s="2"/>
      <c r="K2235" s="1"/>
    </row>
    <row r="2236" spans="1:11" ht="15.75" customHeight="1">
      <c r="A2236" s="69"/>
      <c r="B2236" s="69"/>
      <c r="C2236" s="69"/>
      <c r="D2236" s="69"/>
      <c r="E2236" s="69"/>
      <c r="F2236" s="69"/>
      <c r="G2236" s="58"/>
      <c r="H2236" s="2"/>
      <c r="I2236" s="2"/>
      <c r="J2236" s="2"/>
      <c r="K2236" s="1"/>
    </row>
    <row r="2237" spans="1:11" ht="15.75" customHeight="1">
      <c r="A2237" s="69"/>
      <c r="B2237" s="69"/>
      <c r="C2237" s="69"/>
      <c r="D2237" s="69"/>
      <c r="E2237" s="69"/>
      <c r="F2237" s="69"/>
      <c r="G2237" s="58"/>
      <c r="H2237" s="2"/>
      <c r="I2237" s="2"/>
      <c r="J2237" s="2"/>
      <c r="K2237" s="1"/>
    </row>
    <row r="2238" spans="1:11" ht="15.75" customHeight="1">
      <c r="A2238" s="69"/>
      <c r="B2238" s="69"/>
      <c r="C2238" s="69"/>
      <c r="D2238" s="69"/>
      <c r="E2238" s="69"/>
      <c r="F2238" s="69"/>
      <c r="G2238" s="58"/>
      <c r="H2238" s="2"/>
      <c r="I2238" s="2"/>
      <c r="J2238" s="2"/>
      <c r="K2238" s="1"/>
    </row>
    <row r="2239" spans="1:11" ht="15.75" customHeight="1">
      <c r="A2239" s="69"/>
      <c r="B2239" s="69"/>
      <c r="C2239" s="69"/>
      <c r="D2239" s="69"/>
      <c r="E2239" s="69"/>
      <c r="F2239" s="69"/>
      <c r="G2239" s="58"/>
      <c r="H2239" s="2"/>
      <c r="I2239" s="2"/>
      <c r="J2239" s="2"/>
      <c r="K2239" s="1"/>
    </row>
    <row r="2240" spans="1:11" ht="15.75" customHeight="1">
      <c r="A2240" s="69"/>
      <c r="B2240" s="69"/>
      <c r="C2240" s="69"/>
      <c r="D2240" s="69"/>
      <c r="E2240" s="69"/>
      <c r="F2240" s="69"/>
      <c r="G2240" s="58"/>
      <c r="H2240" s="2"/>
      <c r="I2240" s="2"/>
      <c r="J2240" s="2"/>
      <c r="K2240" s="1"/>
    </row>
    <row r="2241" spans="1:11" ht="15.75" customHeight="1">
      <c r="A2241" s="69"/>
      <c r="B2241" s="69"/>
      <c r="C2241" s="69"/>
      <c r="D2241" s="69"/>
      <c r="E2241" s="69"/>
      <c r="F2241" s="69"/>
      <c r="G2241" s="58"/>
      <c r="H2241" s="2"/>
      <c r="I2241" s="2"/>
      <c r="J2241" s="2"/>
      <c r="K2241" s="1"/>
    </row>
    <row r="2242" spans="1:11" ht="15.75" customHeight="1">
      <c r="A2242" s="69"/>
      <c r="B2242" s="69"/>
      <c r="C2242" s="69"/>
      <c r="D2242" s="69"/>
      <c r="E2242" s="69"/>
      <c r="F2242" s="69"/>
      <c r="G2242" s="58"/>
      <c r="H2242" s="2"/>
      <c r="I2242" s="2"/>
      <c r="J2242" s="2"/>
      <c r="K2242" s="1"/>
    </row>
    <row r="2243" spans="1:11" ht="15.75" customHeight="1">
      <c r="A2243" s="69"/>
      <c r="B2243" s="69"/>
      <c r="C2243" s="69"/>
      <c r="D2243" s="69"/>
      <c r="E2243" s="69"/>
      <c r="F2243" s="69"/>
      <c r="G2243" s="58"/>
      <c r="H2243" s="2"/>
      <c r="I2243" s="2"/>
      <c r="J2243" s="2"/>
      <c r="K2243" s="1"/>
    </row>
    <row r="2244" spans="1:11" ht="15.75" customHeight="1">
      <c r="A2244" s="69"/>
      <c r="B2244" s="69"/>
      <c r="C2244" s="69"/>
      <c r="D2244" s="69"/>
      <c r="E2244" s="69"/>
      <c r="F2244" s="69"/>
      <c r="G2244" s="58"/>
      <c r="H2244" s="2"/>
      <c r="I2244" s="2"/>
      <c r="J2244" s="2"/>
      <c r="K2244" s="1"/>
    </row>
    <row r="2245" spans="1:11" ht="15.75" customHeight="1">
      <c r="A2245" s="69"/>
      <c r="B2245" s="69"/>
      <c r="C2245" s="69"/>
      <c r="D2245" s="69"/>
      <c r="E2245" s="69"/>
      <c r="F2245" s="69"/>
      <c r="G2245" s="58"/>
      <c r="H2245" s="2"/>
      <c r="I2245" s="2"/>
      <c r="J2245" s="2"/>
      <c r="K2245" s="1"/>
    </row>
    <row r="2246" spans="1:11" ht="15.75" customHeight="1">
      <c r="A2246" s="69"/>
      <c r="B2246" s="69"/>
      <c r="C2246" s="69"/>
      <c r="D2246" s="69"/>
      <c r="E2246" s="69"/>
      <c r="F2246" s="69"/>
      <c r="G2246" s="58"/>
      <c r="H2246" s="2"/>
      <c r="I2246" s="2"/>
      <c r="J2246" s="2"/>
      <c r="K2246" s="1"/>
    </row>
    <row r="2247" spans="1:11" ht="15.75" customHeight="1">
      <c r="A2247" s="69"/>
      <c r="B2247" s="69"/>
      <c r="C2247" s="69"/>
      <c r="D2247" s="69"/>
      <c r="E2247" s="69"/>
      <c r="F2247" s="69"/>
      <c r="G2247" s="58"/>
      <c r="H2247" s="2"/>
      <c r="I2247" s="2"/>
      <c r="J2247" s="2"/>
      <c r="K2247" s="1"/>
    </row>
    <row r="2248" spans="1:11" ht="15.75" customHeight="1">
      <c r="A2248" s="69"/>
      <c r="B2248" s="69"/>
      <c r="C2248" s="69"/>
      <c r="D2248" s="69"/>
      <c r="E2248" s="69"/>
      <c r="F2248" s="69"/>
      <c r="G2248" s="58"/>
      <c r="H2248" s="2"/>
      <c r="I2248" s="2"/>
      <c r="J2248" s="2"/>
      <c r="K2248" s="1"/>
    </row>
    <row r="2249" spans="1:11" ht="15.75" customHeight="1">
      <c r="A2249" s="69"/>
      <c r="B2249" s="69"/>
      <c r="C2249" s="69"/>
      <c r="D2249" s="69"/>
      <c r="E2249" s="69"/>
      <c r="F2249" s="69"/>
      <c r="G2249" s="58"/>
      <c r="H2249" s="2"/>
      <c r="I2249" s="2"/>
      <c r="J2249" s="2"/>
      <c r="K2249" s="1"/>
    </row>
    <row r="2250" spans="1:11" ht="15.75" customHeight="1">
      <c r="A2250" s="69"/>
      <c r="B2250" s="69"/>
      <c r="C2250" s="69"/>
      <c r="D2250" s="69"/>
      <c r="E2250" s="69"/>
      <c r="F2250" s="69"/>
      <c r="G2250" s="58"/>
      <c r="H2250" s="2"/>
      <c r="I2250" s="2"/>
      <c r="J2250" s="2"/>
      <c r="K2250" s="1"/>
    </row>
    <row r="2251" spans="1:11" ht="15.75" customHeight="1">
      <c r="A2251" s="69"/>
      <c r="B2251" s="69"/>
      <c r="C2251" s="69"/>
      <c r="D2251" s="69"/>
      <c r="E2251" s="69"/>
      <c r="F2251" s="69"/>
      <c r="G2251" s="58"/>
      <c r="H2251" s="2"/>
      <c r="I2251" s="2"/>
      <c r="J2251" s="2"/>
      <c r="K2251" s="1"/>
    </row>
    <row r="2252" spans="1:11" ht="15.75" customHeight="1">
      <c r="A2252" s="69"/>
      <c r="B2252" s="69"/>
      <c r="C2252" s="69"/>
      <c r="D2252" s="69"/>
      <c r="E2252" s="69"/>
      <c r="F2252" s="69"/>
      <c r="G2252" s="58"/>
      <c r="H2252" s="2"/>
      <c r="I2252" s="2"/>
      <c r="J2252" s="2"/>
      <c r="K2252" s="1"/>
    </row>
    <row r="2253" spans="1:11" ht="15.75" customHeight="1">
      <c r="A2253" s="69"/>
      <c r="B2253" s="69"/>
      <c r="C2253" s="69"/>
      <c r="D2253" s="69"/>
      <c r="E2253" s="69"/>
      <c r="F2253" s="69"/>
      <c r="G2253" s="58"/>
      <c r="H2253" s="2"/>
      <c r="I2253" s="2"/>
      <c r="J2253" s="2"/>
      <c r="K2253" s="1"/>
    </row>
    <row r="2254" spans="1:11" ht="15.75" customHeight="1">
      <c r="A2254" s="69"/>
      <c r="B2254" s="69"/>
      <c r="C2254" s="69"/>
      <c r="D2254" s="69"/>
      <c r="E2254" s="69"/>
      <c r="F2254" s="69"/>
      <c r="G2254" s="58"/>
      <c r="H2254" s="2"/>
      <c r="I2254" s="2"/>
      <c r="J2254" s="2"/>
      <c r="K2254" s="1"/>
    </row>
    <row r="2255" spans="1:11" ht="15.75" customHeight="1">
      <c r="A2255" s="69"/>
      <c r="B2255" s="69"/>
      <c r="C2255" s="69"/>
      <c r="D2255" s="69"/>
      <c r="E2255" s="69"/>
      <c r="F2255" s="69"/>
      <c r="G2255" s="58"/>
      <c r="H2255" s="2"/>
      <c r="I2255" s="2"/>
      <c r="J2255" s="2"/>
      <c r="K2255" s="1"/>
    </row>
    <row r="2256" spans="1:11" ht="15.75" customHeight="1">
      <c r="A2256" s="69"/>
      <c r="B2256" s="69"/>
      <c r="C2256" s="69"/>
      <c r="D2256" s="69"/>
      <c r="E2256" s="69"/>
      <c r="F2256" s="69"/>
      <c r="G2256" s="58"/>
      <c r="H2256" s="2"/>
      <c r="I2256" s="2"/>
      <c r="J2256" s="2"/>
      <c r="K2256" s="1"/>
    </row>
    <row r="2257" spans="1:11" ht="15.75" customHeight="1">
      <c r="A2257" s="69"/>
      <c r="B2257" s="69"/>
      <c r="C2257" s="69"/>
      <c r="D2257" s="69"/>
      <c r="E2257" s="69"/>
      <c r="F2257" s="69"/>
      <c r="G2257" s="58"/>
      <c r="H2257" s="2"/>
      <c r="I2257" s="2"/>
      <c r="J2257" s="2"/>
      <c r="K2257" s="1"/>
    </row>
    <row r="2258" spans="1:11" ht="15.75" customHeight="1">
      <c r="A2258" s="69"/>
      <c r="B2258" s="69"/>
      <c r="C2258" s="69"/>
      <c r="D2258" s="69"/>
      <c r="E2258" s="69"/>
      <c r="F2258" s="69"/>
      <c r="G2258" s="58"/>
      <c r="H2258" s="2"/>
      <c r="I2258" s="2"/>
      <c r="J2258" s="2"/>
      <c r="K2258" s="1"/>
    </row>
    <row r="2259" spans="1:11" ht="15.75" customHeight="1">
      <c r="A2259" s="69"/>
      <c r="B2259" s="69"/>
      <c r="C2259" s="69"/>
      <c r="D2259" s="69"/>
      <c r="E2259" s="69"/>
      <c r="F2259" s="69"/>
      <c r="G2259" s="58"/>
      <c r="H2259" s="2"/>
      <c r="I2259" s="2"/>
      <c r="J2259" s="2"/>
      <c r="K2259" s="1"/>
    </row>
    <row r="2260" spans="1:11" ht="15.75" customHeight="1">
      <c r="A2260" s="69"/>
      <c r="B2260" s="69"/>
      <c r="C2260" s="69"/>
      <c r="D2260" s="69"/>
      <c r="E2260" s="69"/>
      <c r="F2260" s="69"/>
      <c r="G2260" s="58"/>
      <c r="H2260" s="2"/>
      <c r="I2260" s="2"/>
      <c r="J2260" s="2"/>
      <c r="K2260" s="1"/>
    </row>
    <row r="2261" spans="1:11" ht="15.75" customHeight="1">
      <c r="A2261" s="69"/>
      <c r="B2261" s="69"/>
      <c r="C2261" s="69"/>
      <c r="D2261" s="69"/>
      <c r="E2261" s="69"/>
      <c r="F2261" s="69"/>
      <c r="G2261" s="58"/>
      <c r="H2261" s="2"/>
      <c r="I2261" s="2"/>
      <c r="J2261" s="2"/>
      <c r="K2261" s="1"/>
    </row>
    <row r="2262" spans="1:11" ht="15.75" customHeight="1">
      <c r="A2262" s="69"/>
      <c r="B2262" s="69"/>
      <c r="C2262" s="69"/>
      <c r="D2262" s="69"/>
      <c r="E2262" s="69"/>
      <c r="F2262" s="69"/>
      <c r="G2262" s="58"/>
      <c r="H2262" s="2"/>
      <c r="I2262" s="2"/>
      <c r="J2262" s="2"/>
      <c r="K2262" s="1"/>
    </row>
    <row r="2263" spans="1:11" ht="15.75" customHeight="1">
      <c r="A2263" s="69"/>
      <c r="B2263" s="69"/>
      <c r="C2263" s="69"/>
      <c r="D2263" s="69"/>
      <c r="E2263" s="69"/>
      <c r="F2263" s="69"/>
      <c r="G2263" s="58"/>
      <c r="H2263" s="2"/>
      <c r="I2263" s="2"/>
      <c r="J2263" s="2"/>
      <c r="K2263" s="1"/>
    </row>
    <row r="2264" spans="1:11" ht="15.75" customHeight="1">
      <c r="A2264" s="69"/>
      <c r="B2264" s="69"/>
      <c r="C2264" s="69"/>
      <c r="D2264" s="69"/>
      <c r="E2264" s="69"/>
      <c r="F2264" s="69"/>
      <c r="G2264" s="58"/>
      <c r="H2264" s="2"/>
      <c r="I2264" s="2"/>
      <c r="J2264" s="2"/>
      <c r="K2264" s="1"/>
    </row>
    <row r="2265" spans="1:11" ht="15.75" customHeight="1">
      <c r="A2265" s="69"/>
      <c r="B2265" s="69"/>
      <c r="C2265" s="69"/>
      <c r="D2265" s="69"/>
      <c r="E2265" s="69"/>
      <c r="F2265" s="69"/>
      <c r="G2265" s="58"/>
      <c r="H2265" s="2"/>
      <c r="I2265" s="2"/>
      <c r="J2265" s="2"/>
      <c r="K2265" s="1"/>
    </row>
    <row r="2266" spans="1:11" ht="15.75" customHeight="1">
      <c r="A2266" s="69"/>
      <c r="B2266" s="69"/>
      <c r="C2266" s="69"/>
      <c r="D2266" s="69"/>
      <c r="E2266" s="69"/>
      <c r="F2266" s="69"/>
      <c r="G2266" s="58"/>
      <c r="H2266" s="2"/>
      <c r="I2266" s="2"/>
      <c r="J2266" s="2"/>
      <c r="K2266" s="1"/>
    </row>
    <row r="2267" spans="1:11" ht="15.75" customHeight="1">
      <c r="A2267" s="69"/>
      <c r="B2267" s="69"/>
      <c r="C2267" s="69"/>
      <c r="D2267" s="69"/>
      <c r="E2267" s="69"/>
      <c r="F2267" s="69"/>
      <c r="G2267" s="58"/>
      <c r="H2267" s="2"/>
      <c r="I2267" s="2"/>
      <c r="J2267" s="2"/>
      <c r="K2267" s="1"/>
    </row>
    <row r="2268" spans="1:11" ht="15.75" customHeight="1">
      <c r="A2268" s="69"/>
      <c r="B2268" s="69"/>
      <c r="C2268" s="69"/>
      <c r="D2268" s="69"/>
      <c r="E2268" s="69"/>
      <c r="F2268" s="69"/>
      <c r="G2268" s="58"/>
      <c r="H2268" s="2"/>
      <c r="I2268" s="2"/>
      <c r="J2268" s="2"/>
      <c r="K2268" s="1"/>
    </row>
    <row r="2269" spans="1:11" ht="15.75" customHeight="1">
      <c r="A2269" s="69"/>
      <c r="B2269" s="69"/>
      <c r="C2269" s="69"/>
      <c r="D2269" s="69"/>
      <c r="E2269" s="69"/>
      <c r="F2269" s="69"/>
      <c r="G2269" s="58"/>
      <c r="H2269" s="2"/>
      <c r="I2269" s="2"/>
      <c r="J2269" s="2"/>
      <c r="K2269" s="1"/>
    </row>
    <row r="2270" spans="1:11" ht="15.75" customHeight="1">
      <c r="A2270" s="69"/>
      <c r="B2270" s="69"/>
      <c r="C2270" s="69"/>
      <c r="D2270" s="69"/>
      <c r="E2270" s="69"/>
      <c r="F2270" s="69"/>
      <c r="G2270" s="58"/>
      <c r="H2270" s="2"/>
      <c r="I2270" s="2"/>
      <c r="J2270" s="2"/>
      <c r="K2270" s="1"/>
    </row>
    <row r="2271" spans="1:11" ht="15.75" customHeight="1">
      <c r="A2271" s="69"/>
      <c r="B2271" s="69"/>
      <c r="C2271" s="69"/>
      <c r="D2271" s="69"/>
      <c r="E2271" s="69"/>
      <c r="F2271" s="69"/>
      <c r="G2271" s="58"/>
      <c r="H2271" s="2"/>
      <c r="I2271" s="2"/>
      <c r="J2271" s="2"/>
      <c r="K2271" s="1"/>
    </row>
    <row r="2272" spans="1:11" ht="15.75" customHeight="1">
      <c r="A2272" s="69"/>
      <c r="B2272" s="69"/>
      <c r="C2272" s="69"/>
      <c r="D2272" s="69"/>
      <c r="E2272" s="69"/>
      <c r="F2272" s="69"/>
      <c r="G2272" s="58"/>
      <c r="H2272" s="2"/>
      <c r="I2272" s="2"/>
      <c r="J2272" s="2"/>
      <c r="K2272" s="1"/>
    </row>
    <row r="2273" spans="1:11" ht="15.75" customHeight="1">
      <c r="A2273" s="69"/>
      <c r="B2273" s="69"/>
      <c r="C2273" s="69"/>
      <c r="D2273" s="69"/>
      <c r="E2273" s="69"/>
      <c r="F2273" s="69"/>
      <c r="G2273" s="58"/>
      <c r="H2273" s="2"/>
      <c r="I2273" s="2"/>
      <c r="J2273" s="2"/>
      <c r="K2273" s="1"/>
    </row>
    <row r="2274" spans="1:11" ht="15.75" customHeight="1">
      <c r="A2274" s="69"/>
      <c r="B2274" s="69"/>
      <c r="C2274" s="69"/>
      <c r="D2274" s="69"/>
      <c r="E2274" s="69"/>
      <c r="F2274" s="69"/>
      <c r="G2274" s="58"/>
      <c r="H2274" s="2"/>
      <c r="I2274" s="2"/>
      <c r="J2274" s="2"/>
      <c r="K2274" s="1"/>
    </row>
    <row r="2275" spans="1:11" ht="15.75" customHeight="1">
      <c r="A2275" s="69"/>
      <c r="B2275" s="69"/>
      <c r="C2275" s="69"/>
      <c r="D2275" s="69"/>
      <c r="E2275" s="69"/>
      <c r="F2275" s="69"/>
      <c r="G2275" s="58"/>
      <c r="H2275" s="2"/>
      <c r="I2275" s="2"/>
      <c r="J2275" s="2"/>
      <c r="K2275" s="1"/>
    </row>
    <row r="2276" spans="1:11" ht="15.75" customHeight="1">
      <c r="A2276" s="69"/>
      <c r="B2276" s="69"/>
      <c r="C2276" s="69"/>
      <c r="D2276" s="69"/>
      <c r="E2276" s="69"/>
      <c r="F2276" s="69"/>
      <c r="G2276" s="58"/>
      <c r="H2276" s="2"/>
      <c r="I2276" s="2"/>
      <c r="J2276" s="2"/>
      <c r="K2276" s="1"/>
    </row>
    <row r="2277" spans="1:11" ht="15.75" customHeight="1">
      <c r="A2277" s="69"/>
      <c r="B2277" s="69"/>
      <c r="C2277" s="69"/>
      <c r="D2277" s="69"/>
      <c r="E2277" s="69"/>
      <c r="F2277" s="69"/>
      <c r="G2277" s="58"/>
      <c r="H2277" s="2"/>
      <c r="I2277" s="2"/>
      <c r="J2277" s="2"/>
      <c r="K2277" s="1"/>
    </row>
    <row r="2278" spans="1:11" ht="15.75" customHeight="1">
      <c r="A2278" s="69"/>
      <c r="B2278" s="69"/>
      <c r="C2278" s="69"/>
      <c r="D2278" s="69"/>
      <c r="E2278" s="69"/>
      <c r="F2278" s="69"/>
      <c r="G2278" s="58"/>
      <c r="H2278" s="2"/>
      <c r="I2278" s="2"/>
      <c r="J2278" s="2"/>
      <c r="K2278" s="1"/>
    </row>
    <row r="2279" spans="1:11" ht="15.75" customHeight="1">
      <c r="A2279" s="69"/>
      <c r="B2279" s="69"/>
      <c r="C2279" s="69"/>
      <c r="D2279" s="69"/>
      <c r="E2279" s="69"/>
      <c r="F2279" s="69"/>
      <c r="G2279" s="58"/>
      <c r="H2279" s="2"/>
      <c r="I2279" s="2"/>
      <c r="J2279" s="2"/>
      <c r="K2279" s="1"/>
    </row>
    <row r="2280" spans="1:11" ht="15.75" customHeight="1">
      <c r="A2280" s="69"/>
      <c r="B2280" s="69"/>
      <c r="C2280" s="69"/>
      <c r="D2280" s="69"/>
      <c r="E2280" s="69"/>
      <c r="F2280" s="69"/>
      <c r="G2280" s="58"/>
      <c r="H2280" s="2"/>
      <c r="I2280" s="2"/>
      <c r="J2280" s="2"/>
      <c r="K2280" s="1"/>
    </row>
    <row r="2281" spans="1:11" ht="15.75" customHeight="1">
      <c r="A2281" s="69"/>
      <c r="B2281" s="69"/>
      <c r="C2281" s="69"/>
      <c r="D2281" s="69"/>
      <c r="E2281" s="69"/>
      <c r="F2281" s="69"/>
      <c r="G2281" s="58"/>
      <c r="H2281" s="2"/>
      <c r="I2281" s="2"/>
      <c r="J2281" s="2"/>
      <c r="K2281" s="1"/>
    </row>
    <row r="2282" spans="1:11" ht="15.75" customHeight="1">
      <c r="A2282" s="69"/>
      <c r="B2282" s="69"/>
      <c r="C2282" s="69"/>
      <c r="D2282" s="69"/>
      <c r="E2282" s="69"/>
      <c r="F2282" s="69"/>
      <c r="G2282" s="58"/>
      <c r="H2282" s="2"/>
      <c r="I2282" s="2"/>
      <c r="J2282" s="2"/>
      <c r="K2282" s="1"/>
    </row>
    <row r="2283" spans="1:11" ht="15.75" customHeight="1">
      <c r="A2283" s="69"/>
      <c r="B2283" s="69"/>
      <c r="C2283" s="69"/>
      <c r="D2283" s="69"/>
      <c r="E2283" s="69"/>
      <c r="F2283" s="69"/>
      <c r="G2283" s="58"/>
      <c r="H2283" s="2"/>
      <c r="I2283" s="2"/>
      <c r="J2283" s="2"/>
      <c r="K2283" s="1"/>
    </row>
    <row r="2284" spans="1:11" ht="15.75" customHeight="1">
      <c r="A2284" s="69"/>
      <c r="B2284" s="69"/>
      <c r="C2284" s="69"/>
      <c r="D2284" s="69"/>
      <c r="E2284" s="69"/>
      <c r="F2284" s="69"/>
      <c r="G2284" s="58"/>
      <c r="H2284" s="2"/>
      <c r="I2284" s="2"/>
      <c r="J2284" s="2"/>
      <c r="K2284" s="1"/>
    </row>
    <row r="2285" spans="1:11" ht="15.75" customHeight="1">
      <c r="A2285" s="69"/>
      <c r="B2285" s="69"/>
      <c r="C2285" s="69"/>
      <c r="D2285" s="69"/>
      <c r="E2285" s="69"/>
      <c r="F2285" s="69"/>
      <c r="G2285" s="58"/>
      <c r="H2285" s="2"/>
      <c r="I2285" s="2"/>
      <c r="J2285" s="2"/>
      <c r="K2285" s="1"/>
    </row>
    <row r="2286" spans="1:11" ht="15.75" customHeight="1">
      <c r="A2286" s="69"/>
      <c r="B2286" s="69"/>
      <c r="C2286" s="69"/>
      <c r="D2286" s="69"/>
      <c r="E2286" s="69"/>
      <c r="F2286" s="69"/>
      <c r="G2286" s="58"/>
      <c r="H2286" s="2"/>
      <c r="I2286" s="2"/>
      <c r="J2286" s="2"/>
      <c r="K2286" s="1"/>
    </row>
    <row r="2287" spans="1:11" ht="15.75" customHeight="1">
      <c r="A2287" s="69"/>
      <c r="B2287" s="69"/>
      <c r="C2287" s="69"/>
      <c r="D2287" s="69"/>
      <c r="E2287" s="69"/>
      <c r="F2287" s="69"/>
      <c r="G2287" s="58"/>
      <c r="H2287" s="2"/>
      <c r="I2287" s="2"/>
      <c r="J2287" s="2"/>
      <c r="K2287" s="1"/>
    </row>
    <row r="2288" spans="1:11" ht="15.75" customHeight="1">
      <c r="A2288" s="69"/>
      <c r="B2288" s="69"/>
      <c r="C2288" s="69"/>
      <c r="D2288" s="69"/>
      <c r="E2288" s="69"/>
      <c r="F2288" s="69"/>
      <c r="G2288" s="58"/>
      <c r="H2288" s="2"/>
      <c r="I2288" s="2"/>
      <c r="J2288" s="2"/>
      <c r="K2288" s="1"/>
    </row>
    <row r="2289" spans="1:11" ht="15.75" customHeight="1">
      <c r="A2289" s="69"/>
      <c r="B2289" s="69"/>
      <c r="C2289" s="69"/>
      <c r="D2289" s="69"/>
      <c r="E2289" s="69"/>
      <c r="F2289" s="69"/>
      <c r="G2289" s="58"/>
      <c r="H2289" s="2"/>
      <c r="I2289" s="2"/>
      <c r="J2289" s="2"/>
      <c r="K2289" s="1"/>
    </row>
    <row r="2290" spans="1:11" ht="15.75" customHeight="1">
      <c r="A2290" s="69"/>
      <c r="B2290" s="69"/>
      <c r="C2290" s="69"/>
      <c r="D2290" s="69"/>
      <c r="E2290" s="69"/>
      <c r="F2290" s="69"/>
      <c r="G2290" s="58"/>
      <c r="H2290" s="2"/>
      <c r="I2290" s="2"/>
      <c r="J2290" s="2"/>
      <c r="K2290" s="1"/>
    </row>
    <row r="2291" spans="1:11" ht="15.75" customHeight="1">
      <c r="A2291" s="69"/>
      <c r="B2291" s="69"/>
      <c r="C2291" s="69"/>
      <c r="D2291" s="69"/>
      <c r="E2291" s="69"/>
      <c r="F2291" s="69"/>
      <c r="G2291" s="58"/>
      <c r="H2291" s="2"/>
      <c r="I2291" s="2"/>
      <c r="J2291" s="2"/>
      <c r="K2291" s="1"/>
    </row>
    <row r="2292" spans="1:11" ht="15.75" customHeight="1">
      <c r="A2292" s="69"/>
      <c r="B2292" s="69"/>
      <c r="C2292" s="69"/>
      <c r="D2292" s="69"/>
      <c r="E2292" s="69"/>
      <c r="F2292" s="69"/>
      <c r="G2292" s="58"/>
      <c r="H2292" s="2"/>
      <c r="I2292" s="2"/>
      <c r="J2292" s="2"/>
      <c r="K2292" s="1"/>
    </row>
    <row r="2293" spans="1:11" ht="15.75" customHeight="1">
      <c r="A2293" s="69"/>
      <c r="B2293" s="69"/>
      <c r="C2293" s="69"/>
      <c r="D2293" s="69"/>
      <c r="E2293" s="69"/>
      <c r="F2293" s="69"/>
      <c r="G2293" s="58"/>
      <c r="H2293" s="2"/>
      <c r="I2293" s="2"/>
      <c r="J2293" s="2"/>
      <c r="K2293" s="1"/>
    </row>
    <row r="2294" spans="1:11" ht="15.75" customHeight="1">
      <c r="A2294" s="69"/>
      <c r="B2294" s="69"/>
      <c r="C2294" s="69"/>
      <c r="D2294" s="69"/>
      <c r="E2294" s="69"/>
      <c r="F2294" s="69"/>
      <c r="G2294" s="58"/>
      <c r="H2294" s="2"/>
      <c r="I2294" s="2"/>
      <c r="J2294" s="2"/>
      <c r="K2294" s="1"/>
    </row>
    <row r="2295" spans="1:11" ht="15.75" customHeight="1">
      <c r="A2295" s="69"/>
      <c r="B2295" s="69"/>
      <c r="C2295" s="69"/>
      <c r="D2295" s="69"/>
      <c r="E2295" s="69"/>
      <c r="F2295" s="69"/>
      <c r="G2295" s="58"/>
      <c r="H2295" s="2"/>
      <c r="I2295" s="2"/>
      <c r="J2295" s="2"/>
      <c r="K2295" s="1"/>
    </row>
    <row r="2296" spans="1:11" ht="15.75" customHeight="1">
      <c r="A2296" s="69"/>
      <c r="B2296" s="69"/>
      <c r="C2296" s="69"/>
      <c r="D2296" s="69"/>
      <c r="E2296" s="69"/>
      <c r="F2296" s="69"/>
      <c r="G2296" s="58"/>
      <c r="H2296" s="2"/>
      <c r="I2296" s="2"/>
      <c r="J2296" s="2"/>
      <c r="K2296" s="1"/>
    </row>
    <row r="2297" spans="1:11" ht="15.75" customHeight="1">
      <c r="A2297" s="69"/>
      <c r="B2297" s="69"/>
      <c r="C2297" s="69"/>
      <c r="D2297" s="69"/>
      <c r="E2297" s="69"/>
      <c r="F2297" s="69"/>
      <c r="G2297" s="58"/>
      <c r="H2297" s="2"/>
      <c r="I2297" s="2"/>
      <c r="J2297" s="2"/>
      <c r="K2297" s="1"/>
    </row>
    <row r="2298" spans="1:11" ht="15.75" customHeight="1">
      <c r="A2298" s="69"/>
      <c r="B2298" s="69"/>
      <c r="C2298" s="69"/>
      <c r="D2298" s="69"/>
      <c r="E2298" s="69"/>
      <c r="F2298" s="69"/>
      <c r="G2298" s="58"/>
      <c r="H2298" s="2"/>
      <c r="I2298" s="2"/>
      <c r="J2298" s="2"/>
      <c r="K2298" s="1"/>
    </row>
    <row r="2299" spans="1:11" ht="15.75" customHeight="1">
      <c r="A2299" s="69"/>
      <c r="B2299" s="69"/>
      <c r="C2299" s="69"/>
      <c r="D2299" s="69"/>
      <c r="E2299" s="69"/>
      <c r="F2299" s="69"/>
      <c r="G2299" s="58"/>
      <c r="H2299" s="2"/>
      <c r="I2299" s="2"/>
      <c r="J2299" s="2"/>
      <c r="K2299" s="1"/>
    </row>
    <row r="2300" spans="1:11" ht="15.75" customHeight="1">
      <c r="A2300" s="69"/>
      <c r="B2300" s="69"/>
      <c r="C2300" s="69"/>
      <c r="D2300" s="69"/>
      <c r="E2300" s="69"/>
      <c r="F2300" s="69"/>
      <c r="G2300" s="58"/>
      <c r="H2300" s="2"/>
      <c r="I2300" s="2"/>
      <c r="J2300" s="2"/>
      <c r="K2300" s="1"/>
    </row>
    <row r="2301" spans="1:11" ht="15.75" customHeight="1">
      <c r="A2301" s="69"/>
      <c r="B2301" s="69"/>
      <c r="C2301" s="69"/>
      <c r="D2301" s="69"/>
      <c r="E2301" s="69"/>
      <c r="F2301" s="69"/>
      <c r="G2301" s="58"/>
      <c r="H2301" s="2"/>
      <c r="I2301" s="2"/>
      <c r="J2301" s="2"/>
      <c r="K2301" s="1"/>
    </row>
    <row r="2302" spans="1:11" ht="15.75" customHeight="1">
      <c r="A2302" s="69"/>
      <c r="B2302" s="69"/>
      <c r="C2302" s="69"/>
      <c r="D2302" s="69"/>
      <c r="E2302" s="69"/>
      <c r="F2302" s="69"/>
      <c r="G2302" s="58"/>
      <c r="H2302" s="2"/>
      <c r="I2302" s="2"/>
      <c r="J2302" s="2"/>
      <c r="K2302" s="1"/>
    </row>
    <row r="2303" spans="1:11" ht="15.75" customHeight="1">
      <c r="A2303" s="69"/>
      <c r="B2303" s="69"/>
      <c r="C2303" s="69"/>
      <c r="D2303" s="69"/>
      <c r="E2303" s="69"/>
      <c r="F2303" s="69"/>
      <c r="G2303" s="58"/>
      <c r="H2303" s="2"/>
      <c r="I2303" s="2"/>
      <c r="J2303" s="2"/>
      <c r="K2303" s="1"/>
    </row>
    <row r="2304" spans="1:11" ht="15.75" customHeight="1">
      <c r="A2304" s="69"/>
      <c r="B2304" s="69"/>
      <c r="C2304" s="69"/>
      <c r="D2304" s="69"/>
      <c r="E2304" s="69"/>
      <c r="F2304" s="69"/>
      <c r="G2304" s="58"/>
      <c r="H2304" s="2"/>
      <c r="I2304" s="2"/>
      <c r="J2304" s="2"/>
      <c r="K2304" s="1"/>
    </row>
    <row r="2305" spans="1:11" ht="15.75" customHeight="1">
      <c r="A2305" s="69"/>
      <c r="B2305" s="69"/>
      <c r="C2305" s="69"/>
      <c r="D2305" s="69"/>
      <c r="E2305" s="69"/>
      <c r="F2305" s="69"/>
      <c r="G2305" s="58"/>
      <c r="H2305" s="2"/>
      <c r="I2305" s="2"/>
      <c r="J2305" s="2"/>
      <c r="K2305" s="1"/>
    </row>
    <row r="2306" spans="1:11" ht="15.75" customHeight="1">
      <c r="A2306" s="69"/>
      <c r="B2306" s="69"/>
      <c r="C2306" s="69"/>
      <c r="D2306" s="69"/>
      <c r="E2306" s="69"/>
      <c r="F2306" s="69"/>
      <c r="G2306" s="58"/>
      <c r="H2306" s="2"/>
      <c r="I2306" s="2"/>
      <c r="J2306" s="2"/>
      <c r="K2306" s="1"/>
    </row>
    <row r="2307" spans="1:11" ht="15.75" customHeight="1">
      <c r="A2307" s="69"/>
      <c r="B2307" s="69"/>
      <c r="C2307" s="69"/>
      <c r="D2307" s="69"/>
      <c r="E2307" s="69"/>
      <c r="F2307" s="69"/>
      <c r="G2307" s="58"/>
      <c r="H2307" s="2"/>
      <c r="I2307" s="2"/>
      <c r="J2307" s="2"/>
      <c r="K2307" s="1"/>
    </row>
    <row r="2308" spans="1:11" ht="15.75" customHeight="1">
      <c r="A2308" s="69"/>
      <c r="B2308" s="69"/>
      <c r="C2308" s="69"/>
      <c r="D2308" s="69"/>
      <c r="E2308" s="69"/>
      <c r="F2308" s="69"/>
      <c r="G2308" s="58"/>
      <c r="H2308" s="2"/>
      <c r="I2308" s="2"/>
      <c r="J2308" s="2"/>
      <c r="K2308" s="1"/>
    </row>
    <row r="2309" spans="1:11" ht="15.75" customHeight="1">
      <c r="A2309" s="69"/>
      <c r="B2309" s="69"/>
      <c r="C2309" s="69"/>
      <c r="D2309" s="69"/>
      <c r="E2309" s="69"/>
      <c r="F2309" s="69"/>
      <c r="G2309" s="58"/>
      <c r="H2309" s="2"/>
      <c r="I2309" s="2"/>
      <c r="J2309" s="2"/>
      <c r="K2309" s="1"/>
    </row>
    <row r="2310" spans="1:11" ht="15.75" customHeight="1">
      <c r="A2310" s="69"/>
      <c r="B2310" s="69"/>
      <c r="C2310" s="69"/>
      <c r="D2310" s="69"/>
      <c r="E2310" s="69"/>
      <c r="F2310" s="69"/>
      <c r="G2310" s="58"/>
      <c r="H2310" s="2"/>
      <c r="I2310" s="2"/>
      <c r="J2310" s="2"/>
      <c r="K2310" s="1"/>
    </row>
    <row r="2311" spans="1:11" ht="15.75" customHeight="1">
      <c r="A2311" s="69"/>
      <c r="B2311" s="69"/>
      <c r="C2311" s="69"/>
      <c r="D2311" s="69"/>
      <c r="E2311" s="69"/>
      <c r="F2311" s="69"/>
      <c r="G2311" s="58"/>
      <c r="H2311" s="2"/>
      <c r="I2311" s="2"/>
      <c r="J2311" s="2"/>
      <c r="K2311" s="1"/>
    </row>
    <row r="2312" spans="1:11" ht="15.75" customHeight="1">
      <c r="A2312" s="69"/>
      <c r="B2312" s="69"/>
      <c r="C2312" s="69"/>
      <c r="D2312" s="69"/>
      <c r="E2312" s="69"/>
      <c r="F2312" s="69"/>
      <c r="G2312" s="58"/>
      <c r="H2312" s="2"/>
      <c r="I2312" s="2"/>
      <c r="J2312" s="2"/>
      <c r="K2312" s="1"/>
    </row>
    <row r="2313" spans="1:11" ht="15.75" customHeight="1">
      <c r="A2313" s="69"/>
      <c r="B2313" s="69"/>
      <c r="C2313" s="69"/>
      <c r="D2313" s="69"/>
      <c r="E2313" s="69"/>
      <c r="F2313" s="69"/>
      <c r="G2313" s="58"/>
      <c r="H2313" s="2"/>
      <c r="I2313" s="2"/>
      <c r="J2313" s="2"/>
      <c r="K2313" s="1"/>
    </row>
    <row r="2314" spans="1:11" ht="15.75" customHeight="1">
      <c r="A2314" s="69"/>
      <c r="B2314" s="69"/>
      <c r="C2314" s="69"/>
      <c r="D2314" s="69"/>
      <c r="E2314" s="69"/>
      <c r="F2314" s="69"/>
      <c r="G2314" s="58"/>
      <c r="H2314" s="2"/>
      <c r="I2314" s="2"/>
      <c r="J2314" s="2"/>
      <c r="K2314" s="1"/>
    </row>
    <row r="2315" spans="1:11" ht="15.75" customHeight="1">
      <c r="A2315" s="69"/>
      <c r="B2315" s="69"/>
      <c r="C2315" s="69"/>
      <c r="D2315" s="69"/>
      <c r="E2315" s="69"/>
      <c r="F2315" s="69"/>
      <c r="G2315" s="58"/>
      <c r="H2315" s="2"/>
      <c r="I2315" s="2"/>
      <c r="J2315" s="2"/>
      <c r="K2315" s="1"/>
    </row>
    <row r="2316" spans="1:11" ht="15.75" customHeight="1">
      <c r="A2316" s="69"/>
      <c r="B2316" s="69"/>
      <c r="C2316" s="69"/>
      <c r="D2316" s="69"/>
      <c r="E2316" s="69"/>
      <c r="F2316" s="69"/>
      <c r="G2316" s="58"/>
      <c r="H2316" s="2"/>
      <c r="I2316" s="2"/>
      <c r="J2316" s="2"/>
      <c r="K2316" s="1"/>
    </row>
    <row r="2317" spans="1:11" ht="15.75" customHeight="1">
      <c r="A2317" s="69"/>
      <c r="B2317" s="69"/>
      <c r="C2317" s="69"/>
      <c r="D2317" s="69"/>
      <c r="E2317" s="69"/>
      <c r="F2317" s="69"/>
      <c r="G2317" s="58"/>
      <c r="H2317" s="2"/>
      <c r="I2317" s="2"/>
      <c r="J2317" s="2"/>
      <c r="K2317" s="1"/>
    </row>
    <row r="2318" spans="1:11" ht="15.75" customHeight="1">
      <c r="A2318" s="69"/>
      <c r="B2318" s="69"/>
      <c r="C2318" s="69"/>
      <c r="D2318" s="69"/>
      <c r="E2318" s="69"/>
      <c r="F2318" s="69"/>
      <c r="G2318" s="58"/>
      <c r="H2318" s="2"/>
      <c r="I2318" s="2"/>
      <c r="J2318" s="2"/>
      <c r="K2318" s="1"/>
    </row>
    <row r="2319" spans="1:11" ht="15.75" customHeight="1">
      <c r="A2319" s="69"/>
      <c r="B2319" s="69"/>
      <c r="C2319" s="69"/>
      <c r="D2319" s="69"/>
      <c r="E2319" s="69"/>
      <c r="F2319" s="69"/>
      <c r="G2319" s="58"/>
      <c r="H2319" s="2"/>
      <c r="I2319" s="2"/>
      <c r="J2319" s="2"/>
      <c r="K2319" s="1"/>
    </row>
    <row r="2320" spans="1:11" ht="15.75" customHeight="1">
      <c r="A2320" s="69"/>
      <c r="B2320" s="69"/>
      <c r="C2320" s="69"/>
      <c r="D2320" s="69"/>
      <c r="E2320" s="69"/>
      <c r="F2320" s="69"/>
      <c r="G2320" s="58"/>
      <c r="H2320" s="2"/>
      <c r="I2320" s="2"/>
      <c r="J2320" s="2"/>
      <c r="K2320" s="1"/>
    </row>
    <row r="2321" spans="1:11" ht="15.75" customHeight="1">
      <c r="A2321" s="69"/>
      <c r="B2321" s="69"/>
      <c r="C2321" s="69"/>
      <c r="D2321" s="69"/>
      <c r="E2321" s="69"/>
      <c r="F2321" s="69"/>
      <c r="G2321" s="58"/>
      <c r="H2321" s="2"/>
      <c r="I2321" s="2"/>
      <c r="J2321" s="2"/>
      <c r="K2321" s="1"/>
    </row>
    <row r="2322" spans="1:11" ht="15.75" customHeight="1">
      <c r="A2322" s="69"/>
      <c r="B2322" s="69"/>
      <c r="C2322" s="69"/>
      <c r="D2322" s="69"/>
      <c r="E2322" s="69"/>
      <c r="F2322" s="69"/>
      <c r="G2322" s="58"/>
      <c r="H2322" s="2"/>
      <c r="I2322" s="2"/>
      <c r="J2322" s="2"/>
      <c r="K2322" s="1"/>
    </row>
    <row r="2323" spans="1:11" ht="15.75" customHeight="1">
      <c r="A2323" s="69"/>
      <c r="B2323" s="69"/>
      <c r="C2323" s="69"/>
      <c r="D2323" s="69"/>
      <c r="E2323" s="69"/>
      <c r="F2323" s="69"/>
      <c r="G2323" s="58"/>
      <c r="H2323" s="2"/>
      <c r="I2323" s="2"/>
      <c r="J2323" s="2"/>
      <c r="K2323" s="1"/>
    </row>
    <row r="2324" spans="1:11" ht="15.75" customHeight="1">
      <c r="A2324" s="69"/>
      <c r="B2324" s="69"/>
      <c r="C2324" s="69"/>
      <c r="D2324" s="69"/>
      <c r="E2324" s="69"/>
      <c r="F2324" s="69"/>
      <c r="G2324" s="58"/>
      <c r="H2324" s="2"/>
      <c r="I2324" s="2"/>
      <c r="J2324" s="2"/>
      <c r="K2324" s="1"/>
    </row>
    <row r="2325" spans="1:11" ht="15.75" customHeight="1">
      <c r="A2325" s="69"/>
      <c r="B2325" s="69"/>
      <c r="C2325" s="69"/>
      <c r="D2325" s="69"/>
      <c r="E2325" s="69"/>
      <c r="F2325" s="69"/>
      <c r="G2325" s="58"/>
      <c r="H2325" s="2"/>
      <c r="I2325" s="2"/>
      <c r="J2325" s="2"/>
      <c r="K2325" s="1"/>
    </row>
    <row r="2326" spans="1:11" ht="15.75" customHeight="1">
      <c r="A2326" s="69"/>
      <c r="B2326" s="69"/>
      <c r="C2326" s="69"/>
      <c r="D2326" s="69"/>
      <c r="E2326" s="69"/>
      <c r="F2326" s="69"/>
      <c r="G2326" s="58"/>
      <c r="H2326" s="2"/>
      <c r="I2326" s="2"/>
      <c r="J2326" s="2"/>
      <c r="K2326" s="1"/>
    </row>
    <row r="2327" spans="1:11" ht="15.75" customHeight="1">
      <c r="A2327" s="69"/>
      <c r="B2327" s="69"/>
      <c r="C2327" s="69"/>
      <c r="D2327" s="69"/>
      <c r="E2327" s="69"/>
      <c r="F2327" s="69"/>
      <c r="G2327" s="58"/>
      <c r="H2327" s="2"/>
      <c r="I2327" s="2"/>
      <c r="J2327" s="2"/>
      <c r="K2327" s="1"/>
    </row>
    <row r="2328" spans="1:11" ht="15.75" customHeight="1">
      <c r="A2328" s="69"/>
      <c r="B2328" s="69"/>
      <c r="C2328" s="69"/>
      <c r="D2328" s="69"/>
      <c r="E2328" s="69"/>
      <c r="F2328" s="69"/>
      <c r="G2328" s="58"/>
      <c r="H2328" s="2"/>
      <c r="I2328" s="2"/>
      <c r="J2328" s="2"/>
      <c r="K2328" s="1"/>
    </row>
    <row r="2329" spans="1:11" ht="15.75" customHeight="1">
      <c r="A2329" s="69"/>
      <c r="B2329" s="69"/>
      <c r="C2329" s="69"/>
      <c r="D2329" s="69"/>
      <c r="E2329" s="69"/>
      <c r="F2329" s="69"/>
      <c r="G2329" s="58"/>
      <c r="H2329" s="2"/>
      <c r="I2329" s="2"/>
      <c r="J2329" s="2"/>
      <c r="K2329" s="1"/>
    </row>
    <row r="2330" spans="1:11" ht="15.75" customHeight="1">
      <c r="A2330" s="69"/>
      <c r="B2330" s="69"/>
      <c r="C2330" s="69"/>
      <c r="D2330" s="69"/>
      <c r="E2330" s="69"/>
      <c r="F2330" s="69"/>
      <c r="G2330" s="58"/>
      <c r="H2330" s="2"/>
      <c r="I2330" s="2"/>
      <c r="J2330" s="2"/>
      <c r="K2330" s="1"/>
    </row>
    <row r="2331" spans="1:11" ht="15.75" customHeight="1">
      <c r="A2331" s="69"/>
      <c r="B2331" s="69"/>
      <c r="C2331" s="69"/>
      <c r="D2331" s="69"/>
      <c r="E2331" s="69"/>
      <c r="F2331" s="69"/>
      <c r="G2331" s="58"/>
      <c r="H2331" s="2"/>
      <c r="I2331" s="2"/>
      <c r="J2331" s="2"/>
      <c r="K2331" s="1"/>
    </row>
    <row r="2332" spans="1:11" ht="15.75" customHeight="1">
      <c r="A2332" s="69"/>
      <c r="B2332" s="69"/>
      <c r="C2332" s="69"/>
      <c r="D2332" s="69"/>
      <c r="E2332" s="69"/>
      <c r="F2332" s="69"/>
      <c r="G2332" s="58"/>
      <c r="H2332" s="2"/>
      <c r="I2332" s="2"/>
      <c r="J2332" s="2"/>
      <c r="K2332" s="1"/>
    </row>
    <row r="2333" spans="1:11" ht="15.75" customHeight="1">
      <c r="A2333" s="69"/>
      <c r="B2333" s="69"/>
      <c r="C2333" s="69"/>
      <c r="D2333" s="69"/>
      <c r="E2333" s="69"/>
      <c r="F2333" s="69"/>
      <c r="G2333" s="58"/>
      <c r="H2333" s="2"/>
      <c r="I2333" s="2"/>
      <c r="J2333" s="2"/>
      <c r="K2333" s="1"/>
    </row>
    <row r="2334" spans="1:11" ht="15.75" customHeight="1">
      <c r="A2334" s="69"/>
      <c r="B2334" s="69"/>
      <c r="C2334" s="69"/>
      <c r="D2334" s="69"/>
      <c r="E2334" s="69"/>
      <c r="F2334" s="69"/>
      <c r="G2334" s="58"/>
      <c r="H2334" s="2"/>
      <c r="I2334" s="2"/>
      <c r="J2334" s="2"/>
      <c r="K2334" s="1"/>
    </row>
    <row r="2335" spans="1:11" ht="15.75" customHeight="1">
      <c r="A2335" s="69"/>
      <c r="B2335" s="69"/>
      <c r="C2335" s="69"/>
      <c r="D2335" s="69"/>
      <c r="E2335" s="69"/>
      <c r="F2335" s="69"/>
      <c r="G2335" s="58"/>
      <c r="H2335" s="2"/>
      <c r="I2335" s="2"/>
      <c r="J2335" s="2"/>
      <c r="K2335" s="1"/>
    </row>
    <row r="2336" spans="1:11" ht="15.75" customHeight="1">
      <c r="A2336" s="69"/>
      <c r="B2336" s="69"/>
      <c r="C2336" s="69"/>
      <c r="D2336" s="69"/>
      <c r="E2336" s="69"/>
      <c r="F2336" s="69"/>
      <c r="G2336" s="58"/>
      <c r="H2336" s="2"/>
      <c r="I2336" s="2"/>
      <c r="J2336" s="2"/>
      <c r="K2336" s="1"/>
    </row>
    <row r="2337" spans="1:11" ht="15.75" customHeight="1">
      <c r="A2337" s="69"/>
      <c r="B2337" s="69"/>
      <c r="C2337" s="69"/>
      <c r="D2337" s="69"/>
      <c r="E2337" s="69"/>
      <c r="F2337" s="69"/>
      <c r="G2337" s="58"/>
      <c r="H2337" s="2"/>
      <c r="I2337" s="2"/>
      <c r="J2337" s="2"/>
      <c r="K2337" s="1"/>
    </row>
    <row r="2338" spans="1:11" ht="15.75" customHeight="1">
      <c r="A2338" s="69"/>
      <c r="B2338" s="69"/>
      <c r="C2338" s="69"/>
      <c r="D2338" s="69"/>
      <c r="E2338" s="69"/>
      <c r="F2338" s="69"/>
      <c r="G2338" s="58"/>
      <c r="H2338" s="2"/>
      <c r="I2338" s="2"/>
      <c r="J2338" s="2"/>
      <c r="K2338" s="1"/>
    </row>
    <row r="2339" spans="1:11" ht="15.75" customHeight="1">
      <c r="A2339" s="69"/>
      <c r="B2339" s="69"/>
      <c r="C2339" s="69"/>
      <c r="D2339" s="69"/>
      <c r="E2339" s="69"/>
      <c r="F2339" s="69"/>
      <c r="G2339" s="58"/>
      <c r="H2339" s="2"/>
      <c r="I2339" s="2"/>
      <c r="J2339" s="2"/>
      <c r="K2339" s="1"/>
    </row>
    <row r="2340" spans="1:11" ht="15.75" customHeight="1">
      <c r="A2340" s="69"/>
      <c r="B2340" s="69"/>
      <c r="C2340" s="69"/>
      <c r="D2340" s="69"/>
      <c r="E2340" s="69"/>
      <c r="F2340" s="69"/>
      <c r="G2340" s="58"/>
      <c r="H2340" s="2"/>
      <c r="I2340" s="2"/>
      <c r="J2340" s="2"/>
      <c r="K2340" s="1"/>
    </row>
    <row r="2341" spans="1:11" ht="15.75" customHeight="1">
      <c r="A2341" s="69"/>
      <c r="B2341" s="69"/>
      <c r="C2341" s="69"/>
      <c r="D2341" s="69"/>
      <c r="E2341" s="69"/>
      <c r="F2341" s="69"/>
      <c r="G2341" s="58"/>
      <c r="H2341" s="2"/>
      <c r="I2341" s="2"/>
      <c r="J2341" s="2"/>
      <c r="K2341" s="1"/>
    </row>
    <row r="2342" spans="1:11" ht="15.75" customHeight="1">
      <c r="A2342" s="69"/>
      <c r="B2342" s="69"/>
      <c r="C2342" s="69"/>
      <c r="D2342" s="69"/>
      <c r="E2342" s="69"/>
      <c r="F2342" s="69"/>
      <c r="G2342" s="58"/>
      <c r="H2342" s="2"/>
      <c r="I2342" s="2"/>
      <c r="J2342" s="2"/>
      <c r="K2342" s="1"/>
    </row>
    <row r="2343" spans="1:11" ht="15.75" customHeight="1">
      <c r="A2343" s="69"/>
      <c r="B2343" s="69"/>
      <c r="C2343" s="69"/>
      <c r="D2343" s="69"/>
      <c r="E2343" s="69"/>
      <c r="F2343" s="69"/>
      <c r="G2343" s="58"/>
      <c r="H2343" s="2"/>
      <c r="I2343" s="2"/>
      <c r="J2343" s="2"/>
      <c r="K2343" s="1"/>
    </row>
    <row r="2344" spans="1:11" ht="15.75" customHeight="1">
      <c r="A2344" s="69"/>
      <c r="B2344" s="69"/>
      <c r="C2344" s="69"/>
      <c r="D2344" s="69"/>
      <c r="E2344" s="69"/>
      <c r="F2344" s="69"/>
      <c r="G2344" s="58"/>
      <c r="H2344" s="2"/>
      <c r="I2344" s="2"/>
      <c r="J2344" s="2"/>
      <c r="K2344" s="1"/>
    </row>
    <row r="2345" spans="1:11" ht="15.75" customHeight="1">
      <c r="A2345" s="69"/>
      <c r="B2345" s="69"/>
      <c r="C2345" s="69"/>
      <c r="D2345" s="69"/>
      <c r="E2345" s="69"/>
      <c r="F2345" s="69"/>
      <c r="G2345" s="58"/>
      <c r="H2345" s="2"/>
      <c r="I2345" s="2"/>
      <c r="J2345" s="2"/>
      <c r="K2345" s="1"/>
    </row>
    <row r="2346" spans="1:11" ht="15.75" customHeight="1">
      <c r="A2346" s="69"/>
      <c r="B2346" s="69"/>
      <c r="C2346" s="69"/>
      <c r="D2346" s="69"/>
      <c r="E2346" s="69"/>
      <c r="F2346" s="69"/>
      <c r="G2346" s="58"/>
      <c r="H2346" s="2"/>
      <c r="I2346" s="2"/>
      <c r="J2346" s="2"/>
      <c r="K2346" s="1"/>
    </row>
    <row r="2347" spans="1:11" ht="15.75" customHeight="1">
      <c r="A2347" s="69"/>
      <c r="B2347" s="69"/>
      <c r="C2347" s="69"/>
      <c r="D2347" s="69"/>
      <c r="E2347" s="69"/>
      <c r="F2347" s="69"/>
      <c r="G2347" s="58"/>
      <c r="H2347" s="2"/>
      <c r="I2347" s="2"/>
      <c r="J2347" s="2"/>
      <c r="K2347" s="1"/>
    </row>
    <row r="2348" spans="1:11" ht="15.75" customHeight="1">
      <c r="A2348" s="69"/>
      <c r="B2348" s="69"/>
      <c r="C2348" s="69"/>
      <c r="D2348" s="69"/>
      <c r="E2348" s="69"/>
      <c r="F2348" s="69"/>
      <c r="G2348" s="58"/>
      <c r="H2348" s="2"/>
      <c r="I2348" s="2"/>
      <c r="J2348" s="2"/>
      <c r="K2348" s="1"/>
    </row>
    <row r="2349" spans="1:11" ht="15.75" customHeight="1">
      <c r="A2349" s="69"/>
      <c r="B2349" s="69"/>
      <c r="C2349" s="69"/>
      <c r="D2349" s="69"/>
      <c r="E2349" s="69"/>
      <c r="F2349" s="69"/>
      <c r="G2349" s="58"/>
      <c r="H2349" s="2"/>
      <c r="I2349" s="2"/>
      <c r="J2349" s="2"/>
      <c r="K2349" s="1"/>
    </row>
    <row r="2350" spans="1:11" ht="15.75" customHeight="1">
      <c r="A2350" s="69"/>
      <c r="B2350" s="69"/>
      <c r="C2350" s="69"/>
      <c r="D2350" s="69"/>
      <c r="E2350" s="69"/>
      <c r="F2350" s="69"/>
      <c r="G2350" s="58"/>
      <c r="H2350" s="2"/>
      <c r="I2350" s="2"/>
      <c r="J2350" s="2"/>
      <c r="K2350" s="1"/>
    </row>
    <row r="2351" spans="1:11" ht="15.75" customHeight="1">
      <c r="A2351" s="69"/>
      <c r="B2351" s="69"/>
      <c r="C2351" s="69"/>
      <c r="D2351" s="69"/>
      <c r="E2351" s="69"/>
      <c r="F2351" s="69"/>
      <c r="G2351" s="58"/>
      <c r="H2351" s="2"/>
      <c r="I2351" s="2"/>
      <c r="J2351" s="2"/>
      <c r="K2351" s="1"/>
    </row>
    <row r="2352" spans="1:11" ht="15.75" customHeight="1">
      <c r="A2352" s="69"/>
      <c r="B2352" s="69"/>
      <c r="C2352" s="69"/>
      <c r="D2352" s="69"/>
      <c r="E2352" s="69"/>
      <c r="F2352" s="69"/>
      <c r="G2352" s="58"/>
      <c r="H2352" s="2"/>
      <c r="I2352" s="2"/>
      <c r="J2352" s="2"/>
      <c r="K2352" s="1"/>
    </row>
    <row r="2353" spans="1:11" ht="15.75" customHeight="1">
      <c r="A2353" s="69"/>
      <c r="B2353" s="69"/>
      <c r="C2353" s="69"/>
      <c r="D2353" s="69"/>
      <c r="E2353" s="69"/>
      <c r="F2353" s="69"/>
      <c r="G2353" s="58"/>
      <c r="H2353" s="2"/>
      <c r="I2353" s="2"/>
      <c r="J2353" s="2"/>
      <c r="K2353" s="1"/>
    </row>
    <row r="2354" spans="1:11" ht="15.75" customHeight="1">
      <c r="A2354" s="69"/>
      <c r="B2354" s="69"/>
      <c r="C2354" s="69"/>
      <c r="D2354" s="69"/>
      <c r="E2354" s="69"/>
      <c r="F2354" s="69"/>
      <c r="G2354" s="58"/>
      <c r="H2354" s="2"/>
      <c r="I2354" s="2"/>
      <c r="J2354" s="2"/>
      <c r="K2354" s="1"/>
    </row>
    <row r="2355" spans="1:11" ht="15.75" customHeight="1">
      <c r="A2355" s="69"/>
      <c r="B2355" s="69"/>
      <c r="C2355" s="69"/>
      <c r="D2355" s="69"/>
      <c r="E2355" s="69"/>
      <c r="F2355" s="69"/>
      <c r="G2355" s="58"/>
      <c r="H2355" s="2"/>
      <c r="I2355" s="2"/>
      <c r="J2355" s="2"/>
      <c r="K2355" s="1"/>
    </row>
    <row r="2356" spans="1:11" ht="15.75" customHeight="1">
      <c r="A2356" s="69"/>
      <c r="B2356" s="69"/>
      <c r="C2356" s="69"/>
      <c r="D2356" s="69"/>
      <c r="E2356" s="69"/>
      <c r="F2356" s="69"/>
      <c r="G2356" s="58"/>
      <c r="H2356" s="2"/>
      <c r="I2356" s="2"/>
      <c r="J2356" s="2"/>
      <c r="K2356" s="1"/>
    </row>
    <row r="2357" spans="1:11" ht="15.75" customHeight="1">
      <c r="A2357" s="69"/>
      <c r="B2357" s="69"/>
      <c r="C2357" s="69"/>
      <c r="D2357" s="69"/>
      <c r="E2357" s="69"/>
      <c r="F2357" s="69"/>
      <c r="G2357" s="58"/>
      <c r="H2357" s="2"/>
      <c r="I2357" s="2"/>
      <c r="J2357" s="2"/>
      <c r="K2357" s="1"/>
    </row>
    <row r="2358" spans="1:11" ht="15.75" customHeight="1">
      <c r="A2358" s="69"/>
      <c r="B2358" s="69"/>
      <c r="C2358" s="69"/>
      <c r="D2358" s="69"/>
      <c r="E2358" s="69"/>
      <c r="F2358" s="69"/>
      <c r="G2358" s="58"/>
      <c r="H2358" s="2"/>
      <c r="I2358" s="2"/>
      <c r="J2358" s="2"/>
      <c r="K2358" s="1"/>
    </row>
    <row r="2359" spans="1:11" ht="15.75" customHeight="1">
      <c r="A2359" s="69"/>
      <c r="B2359" s="69"/>
      <c r="C2359" s="69"/>
      <c r="D2359" s="69"/>
      <c r="E2359" s="69"/>
      <c r="F2359" s="69"/>
      <c r="G2359" s="58"/>
      <c r="H2359" s="2"/>
      <c r="I2359" s="2"/>
      <c r="J2359" s="2"/>
      <c r="K2359" s="1"/>
    </row>
    <row r="2360" spans="1:11" ht="15.75" customHeight="1">
      <c r="A2360" s="69"/>
      <c r="B2360" s="69"/>
      <c r="C2360" s="69"/>
      <c r="D2360" s="69"/>
      <c r="E2360" s="69"/>
      <c r="F2360" s="69"/>
      <c r="G2360" s="58"/>
      <c r="H2360" s="2"/>
      <c r="I2360" s="2"/>
      <c r="J2360" s="2"/>
      <c r="K2360" s="1"/>
    </row>
    <row r="2361" spans="1:11" ht="15.75" customHeight="1">
      <c r="A2361" s="69"/>
      <c r="B2361" s="69"/>
      <c r="C2361" s="69"/>
      <c r="D2361" s="69"/>
      <c r="E2361" s="69"/>
      <c r="F2361" s="69"/>
      <c r="G2361" s="58"/>
      <c r="H2361" s="2"/>
      <c r="I2361" s="2"/>
      <c r="J2361" s="2"/>
      <c r="K2361" s="1"/>
    </row>
    <row r="2362" spans="1:11" ht="15.75" customHeight="1">
      <c r="A2362" s="69"/>
      <c r="B2362" s="69"/>
      <c r="C2362" s="69"/>
      <c r="D2362" s="69"/>
      <c r="E2362" s="69"/>
      <c r="F2362" s="69"/>
      <c r="G2362" s="58"/>
      <c r="H2362" s="2"/>
      <c r="I2362" s="2"/>
      <c r="J2362" s="2"/>
      <c r="K2362" s="1"/>
    </row>
    <row r="2363" spans="1:11" ht="15.75" customHeight="1">
      <c r="A2363" s="69"/>
      <c r="B2363" s="69"/>
      <c r="C2363" s="69"/>
      <c r="D2363" s="69"/>
      <c r="E2363" s="69"/>
      <c r="F2363" s="69"/>
      <c r="G2363" s="58"/>
      <c r="H2363" s="2"/>
      <c r="I2363" s="2"/>
      <c r="J2363" s="2"/>
      <c r="K2363" s="1"/>
    </row>
    <row r="2364" spans="1:11" ht="15.75" customHeight="1">
      <c r="A2364" s="69"/>
      <c r="B2364" s="69"/>
      <c r="C2364" s="69"/>
      <c r="D2364" s="69"/>
      <c r="E2364" s="69"/>
      <c r="F2364" s="69"/>
      <c r="G2364" s="58"/>
      <c r="H2364" s="2"/>
      <c r="I2364" s="2"/>
      <c r="J2364" s="2"/>
      <c r="K2364" s="1"/>
    </row>
    <row r="2365" spans="1:11" ht="15.75" customHeight="1">
      <c r="A2365" s="69"/>
      <c r="B2365" s="69"/>
      <c r="C2365" s="69"/>
      <c r="D2365" s="69"/>
      <c r="E2365" s="69"/>
      <c r="F2365" s="69"/>
      <c r="G2365" s="58"/>
      <c r="H2365" s="2"/>
      <c r="I2365" s="2"/>
      <c r="J2365" s="2"/>
      <c r="K2365" s="1"/>
    </row>
    <row r="2366" spans="1:11" ht="15.75" customHeight="1">
      <c r="A2366" s="69"/>
      <c r="B2366" s="69"/>
      <c r="C2366" s="69"/>
      <c r="D2366" s="69"/>
      <c r="E2366" s="69"/>
      <c r="F2366" s="69"/>
      <c r="G2366" s="58"/>
      <c r="H2366" s="2"/>
      <c r="I2366" s="2"/>
      <c r="J2366" s="2"/>
      <c r="K2366" s="1"/>
    </row>
    <row r="2367" spans="1:11" ht="15.75" customHeight="1">
      <c r="A2367" s="69"/>
      <c r="B2367" s="69"/>
      <c r="C2367" s="69"/>
      <c r="D2367" s="69"/>
      <c r="E2367" s="69"/>
      <c r="F2367" s="69"/>
      <c r="G2367" s="58"/>
      <c r="H2367" s="2"/>
      <c r="I2367" s="2"/>
      <c r="J2367" s="2"/>
      <c r="K2367" s="1"/>
    </row>
    <row r="2368" spans="1:11" ht="15.75" customHeight="1">
      <c r="A2368" s="69"/>
      <c r="B2368" s="69"/>
      <c r="C2368" s="69"/>
      <c r="D2368" s="69"/>
      <c r="E2368" s="69"/>
      <c r="F2368" s="69"/>
      <c r="G2368" s="58"/>
      <c r="H2368" s="2"/>
      <c r="I2368" s="2"/>
      <c r="J2368" s="2"/>
      <c r="K2368" s="1"/>
    </row>
    <row r="2369" spans="1:11" ht="15.75" customHeight="1">
      <c r="A2369" s="69"/>
      <c r="B2369" s="69"/>
      <c r="C2369" s="69"/>
      <c r="D2369" s="69"/>
      <c r="E2369" s="69"/>
      <c r="F2369" s="69"/>
      <c r="G2369" s="58"/>
      <c r="H2369" s="2"/>
      <c r="I2369" s="2"/>
      <c r="J2369" s="2"/>
      <c r="K2369" s="1"/>
    </row>
    <row r="2370" spans="1:11" ht="15.75" customHeight="1">
      <c r="A2370" s="69"/>
      <c r="B2370" s="69"/>
      <c r="C2370" s="69"/>
      <c r="D2370" s="69"/>
      <c r="E2370" s="69"/>
      <c r="F2370" s="69"/>
      <c r="G2370" s="58"/>
      <c r="H2370" s="2"/>
      <c r="I2370" s="2"/>
      <c r="J2370" s="2"/>
      <c r="K2370" s="1"/>
    </row>
    <row r="2371" spans="1:11" ht="15.75" customHeight="1">
      <c r="A2371" s="69"/>
      <c r="B2371" s="69"/>
      <c r="C2371" s="69"/>
      <c r="D2371" s="69"/>
      <c r="E2371" s="69"/>
      <c r="F2371" s="69"/>
      <c r="G2371" s="58"/>
      <c r="H2371" s="2"/>
      <c r="I2371" s="2"/>
      <c r="J2371" s="2"/>
      <c r="K2371" s="1"/>
    </row>
    <row r="2372" spans="1:11" ht="15.75" customHeight="1">
      <c r="A2372" s="69"/>
      <c r="B2372" s="69"/>
      <c r="C2372" s="69"/>
      <c r="D2372" s="69"/>
      <c r="E2372" s="69"/>
      <c r="F2372" s="69"/>
      <c r="G2372" s="58"/>
      <c r="H2372" s="2"/>
      <c r="I2372" s="2"/>
      <c r="J2372" s="2"/>
      <c r="K2372" s="1"/>
    </row>
    <row r="2373" spans="1:11" ht="15.75" customHeight="1">
      <c r="A2373" s="69"/>
      <c r="B2373" s="69"/>
      <c r="C2373" s="69"/>
      <c r="D2373" s="69"/>
      <c r="E2373" s="69"/>
      <c r="F2373" s="69"/>
      <c r="G2373" s="58"/>
      <c r="H2373" s="2"/>
      <c r="I2373" s="2"/>
      <c r="J2373" s="2"/>
      <c r="K2373" s="1"/>
    </row>
    <row r="2374" spans="1:11" ht="15.75" customHeight="1">
      <c r="A2374" s="69"/>
      <c r="B2374" s="69"/>
      <c r="C2374" s="69"/>
      <c r="D2374" s="69"/>
      <c r="E2374" s="69"/>
      <c r="F2374" s="69"/>
      <c r="G2374" s="58"/>
      <c r="H2374" s="2"/>
      <c r="I2374" s="2"/>
      <c r="J2374" s="2"/>
      <c r="K2374" s="1"/>
    </row>
    <row r="2375" spans="1:11" ht="15.75" customHeight="1">
      <c r="A2375" s="69"/>
      <c r="B2375" s="69"/>
      <c r="C2375" s="69"/>
      <c r="D2375" s="69"/>
      <c r="E2375" s="69"/>
      <c r="F2375" s="69"/>
      <c r="G2375" s="58"/>
      <c r="H2375" s="2"/>
      <c r="I2375" s="2"/>
      <c r="J2375" s="2"/>
      <c r="K2375" s="1"/>
    </row>
    <row r="2376" spans="1:11" ht="15.75" customHeight="1">
      <c r="A2376" s="69"/>
      <c r="B2376" s="69"/>
      <c r="C2376" s="69"/>
      <c r="D2376" s="69"/>
      <c r="E2376" s="69"/>
      <c r="F2376" s="69"/>
      <c r="G2376" s="58"/>
      <c r="H2376" s="2"/>
      <c r="I2376" s="2"/>
      <c r="J2376" s="2"/>
      <c r="K2376" s="1"/>
    </row>
    <row r="2377" spans="1:11" ht="15.75" customHeight="1">
      <c r="A2377" s="69"/>
      <c r="B2377" s="69"/>
      <c r="C2377" s="69"/>
      <c r="D2377" s="69"/>
      <c r="E2377" s="69"/>
      <c r="F2377" s="69"/>
      <c r="G2377" s="58"/>
      <c r="H2377" s="2"/>
      <c r="I2377" s="2"/>
      <c r="J2377" s="2"/>
      <c r="K2377" s="1"/>
    </row>
    <row r="2378" spans="1:11" ht="15.75" customHeight="1">
      <c r="A2378" s="69"/>
      <c r="B2378" s="69"/>
      <c r="C2378" s="69"/>
      <c r="D2378" s="69"/>
      <c r="E2378" s="69"/>
      <c r="F2378" s="69"/>
      <c r="G2378" s="58"/>
      <c r="H2378" s="2"/>
      <c r="I2378" s="2"/>
      <c r="J2378" s="2"/>
      <c r="K2378" s="1"/>
    </row>
    <row r="2379" spans="1:11" ht="15.75" customHeight="1">
      <c r="A2379" s="69"/>
      <c r="B2379" s="69"/>
      <c r="C2379" s="69"/>
      <c r="D2379" s="69"/>
      <c r="E2379" s="69"/>
      <c r="F2379" s="69"/>
      <c r="G2379" s="58"/>
      <c r="H2379" s="2"/>
      <c r="I2379" s="2"/>
      <c r="J2379" s="2"/>
      <c r="K2379" s="1"/>
    </row>
    <row r="2380" spans="1:11" ht="15.75" customHeight="1">
      <c r="A2380" s="69"/>
      <c r="B2380" s="69"/>
      <c r="C2380" s="69"/>
      <c r="D2380" s="69"/>
      <c r="E2380" s="69"/>
      <c r="F2380" s="69"/>
      <c r="G2380" s="58"/>
      <c r="H2380" s="2"/>
      <c r="I2380" s="2"/>
      <c r="J2380" s="2"/>
      <c r="K2380" s="1"/>
    </row>
    <row r="2381" spans="1:11" ht="15.75" customHeight="1">
      <c r="A2381" s="69"/>
      <c r="B2381" s="69"/>
      <c r="C2381" s="69"/>
      <c r="D2381" s="69"/>
      <c r="E2381" s="69"/>
      <c r="F2381" s="69"/>
      <c r="G2381" s="58"/>
      <c r="H2381" s="2"/>
      <c r="I2381" s="2"/>
      <c r="J2381" s="2"/>
      <c r="K2381" s="1"/>
    </row>
    <row r="2382" spans="1:11" ht="15.75" customHeight="1">
      <c r="A2382" s="69"/>
      <c r="B2382" s="69"/>
      <c r="C2382" s="69"/>
      <c r="D2382" s="69"/>
      <c r="E2382" s="69"/>
      <c r="F2382" s="69"/>
      <c r="G2382" s="58"/>
      <c r="H2382" s="2"/>
      <c r="I2382" s="2"/>
      <c r="J2382" s="2"/>
      <c r="K2382" s="1"/>
    </row>
    <row r="2383" spans="1:11" ht="15.75" customHeight="1">
      <c r="A2383" s="69"/>
      <c r="B2383" s="69"/>
      <c r="C2383" s="69"/>
      <c r="D2383" s="69"/>
      <c r="E2383" s="69"/>
      <c r="F2383" s="69"/>
      <c r="G2383" s="58"/>
      <c r="H2383" s="2"/>
      <c r="I2383" s="2"/>
      <c r="J2383" s="2"/>
      <c r="K2383" s="1"/>
    </row>
    <row r="2384" spans="1:11" ht="15.75" customHeight="1">
      <c r="A2384" s="69"/>
      <c r="B2384" s="69"/>
      <c r="C2384" s="69"/>
      <c r="D2384" s="69"/>
      <c r="E2384" s="69"/>
      <c r="F2384" s="69"/>
      <c r="G2384" s="58"/>
      <c r="H2384" s="2"/>
      <c r="I2384" s="2"/>
      <c r="J2384" s="2"/>
      <c r="K2384" s="1"/>
    </row>
    <row r="2385" spans="1:11" ht="15.75" customHeight="1">
      <c r="A2385" s="69"/>
      <c r="B2385" s="69"/>
      <c r="C2385" s="69"/>
      <c r="D2385" s="69"/>
      <c r="E2385" s="69"/>
      <c r="F2385" s="69"/>
      <c r="G2385" s="58"/>
      <c r="H2385" s="2"/>
      <c r="I2385" s="2"/>
      <c r="J2385" s="2"/>
      <c r="K2385" s="1"/>
    </row>
    <row r="2386" spans="1:11" ht="15.75" customHeight="1">
      <c r="A2386" s="69"/>
      <c r="B2386" s="69"/>
      <c r="C2386" s="69"/>
      <c r="D2386" s="69"/>
      <c r="E2386" s="69"/>
      <c r="F2386" s="69"/>
      <c r="G2386" s="58"/>
      <c r="H2386" s="2"/>
      <c r="I2386" s="2"/>
      <c r="J2386" s="2"/>
      <c r="K2386" s="1"/>
    </row>
    <row r="2387" spans="1:11" ht="15.75" customHeight="1">
      <c r="A2387" s="69"/>
      <c r="B2387" s="69"/>
      <c r="C2387" s="69"/>
      <c r="D2387" s="69"/>
      <c r="E2387" s="69"/>
      <c r="F2387" s="69"/>
      <c r="G2387" s="58"/>
      <c r="H2387" s="2"/>
      <c r="I2387" s="2"/>
      <c r="J2387" s="2"/>
      <c r="K2387" s="1"/>
    </row>
    <row r="2388" spans="1:11" ht="15.75" customHeight="1">
      <c r="A2388" s="69"/>
      <c r="B2388" s="69"/>
      <c r="C2388" s="69"/>
      <c r="D2388" s="69"/>
      <c r="E2388" s="69"/>
      <c r="F2388" s="69"/>
      <c r="G2388" s="58"/>
      <c r="H2388" s="2"/>
      <c r="I2388" s="2"/>
      <c r="J2388" s="2"/>
      <c r="K2388" s="1"/>
    </row>
    <row r="2389" spans="1:11" ht="15.75" customHeight="1">
      <c r="A2389" s="69"/>
      <c r="B2389" s="69"/>
      <c r="C2389" s="69"/>
      <c r="D2389" s="69"/>
      <c r="E2389" s="69"/>
      <c r="F2389" s="69"/>
      <c r="G2389" s="58"/>
      <c r="H2389" s="2"/>
      <c r="I2389" s="2"/>
      <c r="J2389" s="2"/>
      <c r="K2389" s="1"/>
    </row>
    <row r="2390" spans="1:11" ht="15.75" customHeight="1">
      <c r="A2390" s="69"/>
      <c r="B2390" s="69"/>
      <c r="C2390" s="69"/>
      <c r="D2390" s="69"/>
      <c r="E2390" s="69"/>
      <c r="F2390" s="69"/>
      <c r="G2390" s="58"/>
      <c r="H2390" s="2"/>
      <c r="I2390" s="2"/>
      <c r="J2390" s="2"/>
      <c r="K2390" s="1"/>
    </row>
    <row r="2391" spans="1:11" ht="15.75" customHeight="1">
      <c r="A2391" s="69"/>
      <c r="B2391" s="69"/>
      <c r="C2391" s="69"/>
      <c r="D2391" s="69"/>
      <c r="E2391" s="69"/>
      <c r="F2391" s="69"/>
      <c r="G2391" s="58"/>
      <c r="H2391" s="2"/>
      <c r="I2391" s="2"/>
      <c r="J2391" s="2"/>
      <c r="K2391" s="1"/>
    </row>
    <row r="2392" spans="1:11" ht="15.75" customHeight="1">
      <c r="A2392" s="69"/>
      <c r="B2392" s="69"/>
      <c r="C2392" s="69"/>
      <c r="D2392" s="69"/>
      <c r="E2392" s="69"/>
      <c r="F2392" s="69"/>
      <c r="G2392" s="58"/>
      <c r="H2392" s="2"/>
      <c r="I2392" s="2"/>
      <c r="J2392" s="2"/>
      <c r="K2392" s="1"/>
    </row>
    <row r="2393" spans="1:11" ht="15.75" customHeight="1">
      <c r="A2393" s="69"/>
      <c r="B2393" s="69"/>
      <c r="C2393" s="69"/>
      <c r="D2393" s="69"/>
      <c r="E2393" s="69"/>
      <c r="F2393" s="69"/>
      <c r="G2393" s="58"/>
      <c r="H2393" s="2"/>
      <c r="I2393" s="2"/>
      <c r="J2393" s="2"/>
      <c r="K2393" s="1"/>
    </row>
    <row r="2394" spans="1:11" ht="15.75" customHeight="1">
      <c r="A2394" s="69"/>
      <c r="B2394" s="69"/>
      <c r="C2394" s="69"/>
      <c r="D2394" s="69"/>
      <c r="E2394" s="69"/>
      <c r="F2394" s="69"/>
      <c r="G2394" s="58"/>
      <c r="H2394" s="2"/>
      <c r="I2394" s="2"/>
      <c r="J2394" s="2"/>
      <c r="K2394" s="1"/>
    </row>
    <row r="2395" spans="1:11" ht="15.75" customHeight="1">
      <c r="A2395" s="69"/>
      <c r="B2395" s="69"/>
      <c r="C2395" s="69"/>
      <c r="D2395" s="69"/>
      <c r="E2395" s="69"/>
      <c r="F2395" s="69"/>
      <c r="G2395" s="58"/>
      <c r="H2395" s="2"/>
      <c r="I2395" s="2"/>
      <c r="J2395" s="2"/>
      <c r="K2395" s="1"/>
    </row>
    <row r="2396" spans="1:11" ht="15.75" customHeight="1">
      <c r="A2396" s="69"/>
      <c r="B2396" s="69"/>
      <c r="C2396" s="69"/>
      <c r="D2396" s="69"/>
      <c r="E2396" s="69"/>
      <c r="F2396" s="69"/>
      <c r="G2396" s="58"/>
      <c r="H2396" s="2"/>
      <c r="I2396" s="2"/>
      <c r="J2396" s="2"/>
      <c r="K2396" s="1"/>
    </row>
    <row r="2397" spans="1:11" ht="15.75" customHeight="1">
      <c r="A2397" s="69"/>
      <c r="B2397" s="69"/>
      <c r="C2397" s="69"/>
      <c r="D2397" s="69"/>
      <c r="E2397" s="69"/>
      <c r="F2397" s="69"/>
      <c r="G2397" s="58"/>
      <c r="H2397" s="2"/>
      <c r="I2397" s="2"/>
      <c r="J2397" s="2"/>
      <c r="K2397" s="1"/>
    </row>
    <row r="2398" spans="1:11" ht="15.75" customHeight="1">
      <c r="A2398" s="69"/>
      <c r="B2398" s="69"/>
      <c r="C2398" s="69"/>
      <c r="D2398" s="69"/>
      <c r="E2398" s="69"/>
      <c r="F2398" s="69"/>
      <c r="G2398" s="58"/>
      <c r="H2398" s="2"/>
      <c r="I2398" s="2"/>
      <c r="J2398" s="2"/>
      <c r="K2398" s="1"/>
    </row>
    <row r="2399" spans="1:11" ht="15.75" customHeight="1">
      <c r="A2399" s="69"/>
      <c r="B2399" s="69"/>
      <c r="C2399" s="69"/>
      <c r="D2399" s="69"/>
      <c r="E2399" s="69"/>
      <c r="F2399" s="69"/>
      <c r="G2399" s="58"/>
      <c r="H2399" s="2"/>
      <c r="I2399" s="2"/>
      <c r="J2399" s="2"/>
      <c r="K2399" s="1"/>
    </row>
    <row r="2400" spans="1:11" ht="15.75" customHeight="1">
      <c r="A2400" s="69"/>
      <c r="B2400" s="69"/>
      <c r="C2400" s="69"/>
      <c r="D2400" s="69"/>
      <c r="E2400" s="69"/>
      <c r="F2400" s="69"/>
      <c r="G2400" s="58"/>
      <c r="H2400" s="2"/>
      <c r="I2400" s="2"/>
      <c r="J2400" s="2"/>
      <c r="K2400" s="1"/>
    </row>
    <row r="2401" spans="1:11" ht="15.75" customHeight="1">
      <c r="A2401" s="69"/>
      <c r="B2401" s="69"/>
      <c r="C2401" s="69"/>
      <c r="D2401" s="69"/>
      <c r="E2401" s="69"/>
      <c r="F2401" s="69"/>
      <c r="G2401" s="58"/>
      <c r="H2401" s="2"/>
      <c r="I2401" s="2"/>
      <c r="J2401" s="2"/>
      <c r="K2401" s="1"/>
    </row>
    <row r="2402" spans="1:11" ht="15.75" customHeight="1">
      <c r="A2402" s="69"/>
      <c r="B2402" s="69"/>
      <c r="C2402" s="69"/>
      <c r="D2402" s="69"/>
      <c r="E2402" s="69"/>
      <c r="F2402" s="69"/>
      <c r="G2402" s="58"/>
      <c r="H2402" s="2"/>
      <c r="I2402" s="2"/>
      <c r="J2402" s="2"/>
      <c r="K2402" s="1"/>
    </row>
    <row r="2403" spans="1:11" ht="15.75" customHeight="1">
      <c r="A2403" s="69"/>
      <c r="B2403" s="69"/>
      <c r="C2403" s="69"/>
      <c r="D2403" s="69"/>
      <c r="E2403" s="69"/>
      <c r="F2403" s="69"/>
      <c r="G2403" s="58"/>
      <c r="H2403" s="2"/>
      <c r="I2403" s="2"/>
      <c r="J2403" s="2"/>
      <c r="K2403" s="1"/>
    </row>
    <row r="2404" spans="1:11" ht="15.75" customHeight="1">
      <c r="A2404" s="69"/>
      <c r="B2404" s="69"/>
      <c r="C2404" s="69"/>
      <c r="D2404" s="69"/>
      <c r="E2404" s="69"/>
      <c r="F2404" s="69"/>
      <c r="G2404" s="58"/>
      <c r="H2404" s="2"/>
      <c r="I2404" s="2"/>
      <c r="J2404" s="2"/>
      <c r="K2404" s="1"/>
    </row>
    <row r="2405" spans="1:11" ht="15.75" customHeight="1">
      <c r="A2405" s="69"/>
      <c r="B2405" s="69"/>
      <c r="C2405" s="69"/>
      <c r="D2405" s="69"/>
      <c r="E2405" s="69"/>
      <c r="F2405" s="69"/>
      <c r="G2405" s="58"/>
      <c r="H2405" s="2"/>
      <c r="I2405" s="2"/>
      <c r="J2405" s="2"/>
      <c r="K2405" s="1"/>
    </row>
    <row r="2406" spans="1:11" ht="15.75" customHeight="1">
      <c r="A2406" s="69"/>
      <c r="B2406" s="69"/>
      <c r="C2406" s="69"/>
      <c r="D2406" s="69"/>
      <c r="E2406" s="69"/>
      <c r="F2406" s="69"/>
      <c r="G2406" s="58"/>
      <c r="H2406" s="2"/>
      <c r="I2406" s="2"/>
      <c r="J2406" s="2"/>
      <c r="K2406" s="1"/>
    </row>
    <row r="2407" spans="1:11" ht="15.75" customHeight="1">
      <c r="A2407" s="69"/>
      <c r="B2407" s="69"/>
      <c r="C2407" s="69"/>
      <c r="D2407" s="69"/>
      <c r="E2407" s="69"/>
      <c r="F2407" s="69"/>
      <c r="G2407" s="58"/>
      <c r="H2407" s="2"/>
      <c r="I2407" s="2"/>
      <c r="J2407" s="2"/>
      <c r="K2407" s="1"/>
    </row>
    <row r="2408" spans="1:11" ht="15.75" customHeight="1">
      <c r="A2408" s="69"/>
      <c r="B2408" s="69"/>
      <c r="C2408" s="69"/>
      <c r="D2408" s="69"/>
      <c r="E2408" s="69"/>
      <c r="F2408" s="69"/>
      <c r="G2408" s="58"/>
      <c r="H2408" s="2"/>
      <c r="I2408" s="2"/>
      <c r="J2408" s="2"/>
      <c r="K2408" s="1"/>
    </row>
    <row r="2409" spans="1:11" ht="15.75" customHeight="1">
      <c r="A2409" s="69"/>
      <c r="B2409" s="69"/>
      <c r="C2409" s="69"/>
      <c r="D2409" s="69"/>
      <c r="E2409" s="69"/>
      <c r="F2409" s="69"/>
      <c r="G2409" s="58"/>
      <c r="H2409" s="2"/>
      <c r="I2409" s="2"/>
      <c r="J2409" s="2"/>
      <c r="K2409" s="1"/>
    </row>
    <row r="2410" spans="1:11" ht="15.75" customHeight="1">
      <c r="A2410" s="69"/>
      <c r="B2410" s="69"/>
      <c r="C2410" s="69"/>
      <c r="D2410" s="69"/>
      <c r="E2410" s="69"/>
      <c r="F2410" s="69"/>
      <c r="G2410" s="58"/>
      <c r="H2410" s="2"/>
      <c r="I2410" s="2"/>
      <c r="J2410" s="2"/>
      <c r="K2410" s="1"/>
    </row>
    <row r="2411" spans="1:11" ht="15.75" customHeight="1">
      <c r="A2411" s="69"/>
      <c r="B2411" s="69"/>
      <c r="C2411" s="69"/>
      <c r="D2411" s="69"/>
      <c r="E2411" s="69"/>
      <c r="F2411" s="69"/>
      <c r="G2411" s="58"/>
      <c r="H2411" s="2"/>
      <c r="I2411" s="2"/>
      <c r="J2411" s="2"/>
      <c r="K2411" s="1"/>
    </row>
    <row r="2412" spans="1:11" ht="15.75" customHeight="1">
      <c r="A2412" s="69"/>
      <c r="B2412" s="69"/>
      <c r="C2412" s="69"/>
      <c r="D2412" s="69"/>
      <c r="E2412" s="69"/>
      <c r="F2412" s="69"/>
      <c r="G2412" s="58"/>
      <c r="H2412" s="2"/>
      <c r="I2412" s="2"/>
      <c r="J2412" s="2"/>
      <c r="K2412" s="1"/>
    </row>
    <row r="2413" spans="1:11" ht="15.75" customHeight="1">
      <c r="A2413" s="69"/>
      <c r="B2413" s="69"/>
      <c r="C2413" s="69"/>
      <c r="D2413" s="69"/>
      <c r="E2413" s="69"/>
      <c r="F2413" s="69"/>
      <c r="G2413" s="58"/>
      <c r="H2413" s="2"/>
      <c r="I2413" s="2"/>
      <c r="J2413" s="2"/>
      <c r="K2413" s="1"/>
    </row>
    <row r="2414" spans="1:11" ht="15.75" customHeight="1">
      <c r="A2414" s="69"/>
      <c r="B2414" s="69"/>
      <c r="C2414" s="69"/>
      <c r="D2414" s="69"/>
      <c r="E2414" s="69"/>
      <c r="F2414" s="69"/>
      <c r="G2414" s="58"/>
      <c r="H2414" s="2"/>
      <c r="I2414" s="2"/>
      <c r="J2414" s="2"/>
      <c r="K2414" s="1"/>
    </row>
    <row r="2415" spans="1:11" ht="15.75" customHeight="1">
      <c r="A2415" s="69"/>
      <c r="B2415" s="69"/>
      <c r="C2415" s="69"/>
      <c r="D2415" s="69"/>
      <c r="E2415" s="69"/>
      <c r="F2415" s="69"/>
      <c r="G2415" s="58"/>
      <c r="H2415" s="2"/>
      <c r="I2415" s="2"/>
      <c r="J2415" s="2"/>
      <c r="K2415" s="1"/>
    </row>
    <row r="2416" spans="1:11" ht="15.75" customHeight="1">
      <c r="A2416" s="69"/>
      <c r="B2416" s="69"/>
      <c r="C2416" s="69"/>
      <c r="D2416" s="69"/>
      <c r="E2416" s="69"/>
      <c r="F2416" s="69"/>
      <c r="G2416" s="58"/>
      <c r="H2416" s="2"/>
      <c r="I2416" s="2"/>
      <c r="J2416" s="2"/>
      <c r="K2416" s="1"/>
    </row>
    <row r="2417" spans="1:11" ht="15.75" customHeight="1">
      <c r="A2417" s="69"/>
      <c r="B2417" s="69"/>
      <c r="C2417" s="69"/>
      <c r="D2417" s="69"/>
      <c r="E2417" s="69"/>
      <c r="F2417" s="69"/>
      <c r="G2417" s="58"/>
      <c r="H2417" s="2"/>
      <c r="I2417" s="2"/>
      <c r="J2417" s="2"/>
      <c r="K2417" s="1"/>
    </row>
    <row r="2418" spans="1:11" ht="15.75" customHeight="1">
      <c r="A2418" s="69"/>
      <c r="B2418" s="69"/>
      <c r="C2418" s="69"/>
      <c r="D2418" s="69"/>
      <c r="E2418" s="69"/>
      <c r="F2418" s="69"/>
      <c r="G2418" s="58"/>
      <c r="H2418" s="2"/>
      <c r="I2418" s="2"/>
      <c r="J2418" s="2"/>
      <c r="K2418" s="1"/>
    </row>
    <row r="2419" spans="1:11" ht="15.75" customHeight="1">
      <c r="A2419" s="69"/>
      <c r="B2419" s="69"/>
      <c r="C2419" s="69"/>
      <c r="D2419" s="69"/>
      <c r="E2419" s="69"/>
      <c r="F2419" s="69"/>
      <c r="G2419" s="58"/>
      <c r="H2419" s="2"/>
      <c r="I2419" s="2"/>
      <c r="J2419" s="2"/>
      <c r="K2419" s="1"/>
    </row>
    <row r="2420" spans="1:11" ht="15.75" customHeight="1">
      <c r="A2420" s="69"/>
      <c r="B2420" s="69"/>
      <c r="C2420" s="69"/>
      <c r="D2420" s="69"/>
      <c r="E2420" s="69"/>
      <c r="F2420" s="69"/>
      <c r="G2420" s="58"/>
      <c r="H2420" s="2"/>
      <c r="I2420" s="2"/>
      <c r="J2420" s="2"/>
      <c r="K2420" s="1"/>
    </row>
    <row r="2421" spans="1:11" ht="15.75" customHeight="1">
      <c r="A2421" s="69"/>
      <c r="B2421" s="69"/>
      <c r="C2421" s="69"/>
      <c r="D2421" s="69"/>
      <c r="E2421" s="69"/>
      <c r="F2421" s="69"/>
      <c r="G2421" s="58"/>
      <c r="H2421" s="2"/>
      <c r="I2421" s="2"/>
      <c r="J2421" s="2"/>
      <c r="K2421" s="1"/>
    </row>
    <row r="2422" spans="1:11" ht="15.75" customHeight="1">
      <c r="A2422" s="69"/>
      <c r="B2422" s="69"/>
      <c r="C2422" s="69"/>
      <c r="D2422" s="69"/>
      <c r="E2422" s="69"/>
      <c r="F2422" s="69"/>
      <c r="G2422" s="58"/>
      <c r="H2422" s="2"/>
      <c r="I2422" s="2"/>
      <c r="J2422" s="2"/>
      <c r="K2422" s="1"/>
    </row>
    <row r="2423" spans="1:11" ht="15.75" customHeight="1">
      <c r="A2423" s="69"/>
      <c r="B2423" s="69"/>
      <c r="C2423" s="69"/>
      <c r="D2423" s="69"/>
      <c r="E2423" s="69"/>
      <c r="F2423" s="69"/>
      <c r="G2423" s="58"/>
      <c r="H2423" s="2"/>
      <c r="I2423" s="2"/>
      <c r="J2423" s="2"/>
      <c r="K2423" s="1"/>
    </row>
    <row r="2424" spans="1:11" ht="15.75" customHeight="1">
      <c r="A2424" s="69"/>
      <c r="B2424" s="69"/>
      <c r="C2424" s="69"/>
      <c r="D2424" s="69"/>
      <c r="E2424" s="69"/>
      <c r="F2424" s="69"/>
      <c r="G2424" s="58"/>
      <c r="H2424" s="2"/>
      <c r="I2424" s="2"/>
      <c r="J2424" s="2"/>
      <c r="K2424" s="1"/>
    </row>
    <row r="2425" spans="1:11" ht="15.75" customHeight="1">
      <c r="A2425" s="69"/>
      <c r="B2425" s="69"/>
      <c r="C2425" s="69"/>
      <c r="D2425" s="69"/>
      <c r="E2425" s="69"/>
      <c r="F2425" s="69"/>
      <c r="G2425" s="58"/>
      <c r="H2425" s="2"/>
      <c r="I2425" s="2"/>
      <c r="J2425" s="2"/>
      <c r="K2425" s="1"/>
    </row>
    <row r="2426" spans="1:11" ht="15.75" customHeight="1">
      <c r="A2426" s="69"/>
      <c r="B2426" s="69"/>
      <c r="C2426" s="69"/>
      <c r="D2426" s="69"/>
      <c r="E2426" s="69"/>
      <c r="F2426" s="69"/>
      <c r="G2426" s="58"/>
      <c r="H2426" s="2"/>
      <c r="I2426" s="2"/>
      <c r="J2426" s="2"/>
      <c r="K2426" s="1"/>
    </row>
    <row r="2427" spans="1:11" ht="15.75" customHeight="1">
      <c r="A2427" s="69"/>
      <c r="B2427" s="69"/>
      <c r="C2427" s="69"/>
      <c r="D2427" s="69"/>
      <c r="E2427" s="69"/>
      <c r="F2427" s="69"/>
      <c r="G2427" s="58"/>
      <c r="H2427" s="2"/>
      <c r="I2427" s="2"/>
      <c r="J2427" s="2"/>
      <c r="K2427" s="1"/>
    </row>
    <row r="2428" spans="1:11" ht="15.75" customHeight="1">
      <c r="A2428" s="69"/>
      <c r="B2428" s="69"/>
      <c r="C2428" s="69"/>
      <c r="D2428" s="69"/>
      <c r="E2428" s="69"/>
      <c r="F2428" s="69"/>
      <c r="G2428" s="58"/>
      <c r="H2428" s="2"/>
      <c r="I2428" s="2"/>
      <c r="J2428" s="2"/>
      <c r="K2428" s="1"/>
    </row>
    <row r="2429" spans="1:11" ht="15.75" customHeight="1">
      <c r="A2429" s="69"/>
      <c r="B2429" s="69"/>
      <c r="C2429" s="69"/>
      <c r="D2429" s="69"/>
      <c r="E2429" s="69"/>
      <c r="F2429" s="69"/>
      <c r="G2429" s="58"/>
      <c r="H2429" s="2"/>
      <c r="I2429" s="2"/>
      <c r="J2429" s="2"/>
      <c r="K2429" s="1"/>
    </row>
    <row r="2430" spans="1:11" ht="15.75" customHeight="1">
      <c r="A2430" s="69"/>
      <c r="B2430" s="69"/>
      <c r="C2430" s="69"/>
      <c r="D2430" s="69"/>
      <c r="E2430" s="69"/>
      <c r="F2430" s="69"/>
      <c r="G2430" s="58"/>
      <c r="H2430" s="2"/>
      <c r="I2430" s="2"/>
      <c r="J2430" s="2"/>
      <c r="K2430" s="1"/>
    </row>
    <row r="2431" spans="1:11" ht="15.75" customHeight="1">
      <c r="A2431" s="69"/>
      <c r="B2431" s="69"/>
      <c r="C2431" s="69"/>
      <c r="D2431" s="69"/>
      <c r="E2431" s="69"/>
      <c r="F2431" s="69"/>
      <c r="G2431" s="58"/>
      <c r="H2431" s="2"/>
      <c r="I2431" s="2"/>
      <c r="J2431" s="2"/>
      <c r="K2431" s="1"/>
    </row>
    <row r="2432" spans="1:11" ht="15.75" customHeight="1">
      <c r="A2432" s="69"/>
      <c r="B2432" s="69"/>
      <c r="C2432" s="69"/>
      <c r="D2432" s="69"/>
      <c r="E2432" s="69"/>
      <c r="F2432" s="69"/>
      <c r="G2432" s="58"/>
      <c r="H2432" s="2"/>
      <c r="I2432" s="2"/>
      <c r="J2432" s="2"/>
      <c r="K2432" s="1"/>
    </row>
    <row r="2433" spans="1:11" ht="15.75" customHeight="1">
      <c r="A2433" s="69"/>
      <c r="B2433" s="69"/>
      <c r="C2433" s="69"/>
      <c r="D2433" s="69"/>
      <c r="E2433" s="69"/>
      <c r="F2433" s="69"/>
      <c r="G2433" s="58"/>
      <c r="H2433" s="2"/>
      <c r="I2433" s="2"/>
      <c r="J2433" s="2"/>
      <c r="K2433" s="1"/>
    </row>
    <row r="2434" spans="1:11" ht="15.75" customHeight="1">
      <c r="A2434" s="69"/>
      <c r="B2434" s="69"/>
      <c r="C2434" s="69"/>
      <c r="D2434" s="69"/>
      <c r="E2434" s="69"/>
      <c r="F2434" s="69"/>
      <c r="G2434" s="58"/>
      <c r="H2434" s="2"/>
      <c r="I2434" s="2"/>
      <c r="J2434" s="2"/>
      <c r="K2434" s="1"/>
    </row>
    <row r="2435" spans="1:11" ht="15.75" customHeight="1">
      <c r="A2435" s="69"/>
      <c r="B2435" s="69"/>
      <c r="C2435" s="69"/>
      <c r="D2435" s="69"/>
      <c r="E2435" s="69"/>
      <c r="F2435" s="69"/>
      <c r="G2435" s="58"/>
      <c r="H2435" s="2"/>
      <c r="I2435" s="2"/>
      <c r="J2435" s="2"/>
      <c r="K2435" s="1"/>
    </row>
    <row r="2436" spans="1:11" ht="15.75" customHeight="1">
      <c r="A2436" s="69"/>
      <c r="B2436" s="69"/>
      <c r="C2436" s="69"/>
      <c r="D2436" s="69"/>
      <c r="E2436" s="69"/>
      <c r="F2436" s="69"/>
      <c r="G2436" s="58"/>
      <c r="H2436" s="2"/>
      <c r="I2436" s="2"/>
      <c r="J2436" s="2"/>
      <c r="K2436" s="1"/>
    </row>
    <row r="2437" spans="1:11" ht="15.75" customHeight="1">
      <c r="A2437" s="69"/>
      <c r="B2437" s="69"/>
      <c r="C2437" s="69"/>
      <c r="D2437" s="69"/>
      <c r="E2437" s="69"/>
      <c r="F2437" s="69"/>
      <c r="G2437" s="58"/>
      <c r="H2437" s="2"/>
      <c r="I2437" s="2"/>
      <c r="J2437" s="2"/>
      <c r="K2437" s="1"/>
    </row>
    <row r="2438" spans="1:11" ht="15.75" customHeight="1">
      <c r="A2438" s="69"/>
      <c r="B2438" s="69"/>
      <c r="C2438" s="69"/>
      <c r="D2438" s="69"/>
      <c r="E2438" s="69"/>
      <c r="F2438" s="69"/>
      <c r="G2438" s="58"/>
      <c r="H2438" s="2"/>
      <c r="I2438" s="2"/>
      <c r="J2438" s="2"/>
      <c r="K2438" s="1"/>
    </row>
    <row r="2439" spans="1:11" ht="15.75" customHeight="1">
      <c r="A2439" s="69"/>
      <c r="B2439" s="69"/>
      <c r="C2439" s="69"/>
      <c r="D2439" s="69"/>
      <c r="E2439" s="69"/>
      <c r="F2439" s="69"/>
      <c r="G2439" s="58"/>
      <c r="H2439" s="2"/>
      <c r="I2439" s="2"/>
      <c r="J2439" s="2"/>
      <c r="K2439" s="1"/>
    </row>
    <row r="2440" spans="1:11" ht="15.75" customHeight="1">
      <c r="A2440" s="69"/>
      <c r="B2440" s="69"/>
      <c r="C2440" s="69"/>
      <c r="D2440" s="69"/>
      <c r="E2440" s="69"/>
      <c r="F2440" s="69"/>
      <c r="G2440" s="58"/>
      <c r="H2440" s="2"/>
      <c r="I2440" s="2"/>
      <c r="J2440" s="2"/>
      <c r="K2440" s="1"/>
    </row>
    <row r="2441" spans="1:11" ht="15.75" customHeight="1">
      <c r="A2441" s="69"/>
      <c r="B2441" s="69"/>
      <c r="C2441" s="69"/>
      <c r="D2441" s="69"/>
      <c r="E2441" s="69"/>
      <c r="F2441" s="69"/>
      <c r="G2441" s="58"/>
      <c r="H2441" s="2"/>
      <c r="I2441" s="2"/>
      <c r="J2441" s="2"/>
      <c r="K2441" s="1"/>
    </row>
    <row r="2442" spans="1:11" ht="15.75" customHeight="1">
      <c r="A2442" s="69"/>
      <c r="B2442" s="69"/>
      <c r="C2442" s="69"/>
      <c r="D2442" s="69"/>
      <c r="E2442" s="69"/>
      <c r="F2442" s="69"/>
      <c r="G2442" s="58"/>
      <c r="H2442" s="2"/>
      <c r="I2442" s="2"/>
      <c r="J2442" s="2"/>
      <c r="K2442" s="1"/>
    </row>
    <row r="2443" spans="1:11" ht="15.75" customHeight="1">
      <c r="A2443" s="69"/>
      <c r="B2443" s="69"/>
      <c r="C2443" s="69"/>
      <c r="D2443" s="69"/>
      <c r="E2443" s="69"/>
      <c r="F2443" s="69"/>
      <c r="G2443" s="58"/>
      <c r="H2443" s="2"/>
      <c r="I2443" s="2"/>
      <c r="J2443" s="2"/>
      <c r="K2443" s="1"/>
    </row>
    <row r="2444" spans="1:11" ht="15.75" customHeight="1">
      <c r="A2444" s="69"/>
      <c r="B2444" s="69"/>
      <c r="C2444" s="69"/>
      <c r="D2444" s="69"/>
      <c r="E2444" s="69"/>
      <c r="F2444" s="69"/>
      <c r="G2444" s="58"/>
      <c r="H2444" s="2"/>
      <c r="I2444" s="2"/>
      <c r="J2444" s="2"/>
      <c r="K2444" s="1"/>
    </row>
    <row r="2445" spans="1:11" ht="15.75" customHeight="1">
      <c r="A2445" s="69"/>
      <c r="B2445" s="69"/>
      <c r="C2445" s="69"/>
      <c r="D2445" s="69"/>
      <c r="E2445" s="69"/>
      <c r="F2445" s="69"/>
      <c r="G2445" s="58"/>
      <c r="H2445" s="2"/>
      <c r="I2445" s="2"/>
      <c r="J2445" s="2"/>
      <c r="K2445" s="1"/>
    </row>
    <row r="2446" spans="1:11" ht="15.75" customHeight="1">
      <c r="A2446" s="69"/>
      <c r="B2446" s="69"/>
      <c r="C2446" s="69"/>
      <c r="D2446" s="69"/>
      <c r="E2446" s="69"/>
      <c r="F2446" s="69"/>
      <c r="G2446" s="58"/>
      <c r="H2446" s="2"/>
      <c r="I2446" s="2"/>
      <c r="J2446" s="2"/>
      <c r="K2446" s="1"/>
    </row>
    <row r="2447" spans="1:11" ht="15.75" customHeight="1">
      <c r="A2447" s="69"/>
      <c r="B2447" s="69"/>
      <c r="C2447" s="69"/>
      <c r="D2447" s="69"/>
      <c r="E2447" s="69"/>
      <c r="F2447" s="69"/>
      <c r="G2447" s="58"/>
      <c r="H2447" s="2"/>
      <c r="I2447" s="2"/>
      <c r="J2447" s="2"/>
      <c r="K2447" s="1"/>
    </row>
    <row r="2448" spans="1:11" ht="15.75" customHeight="1">
      <c r="A2448" s="69"/>
      <c r="B2448" s="69"/>
      <c r="C2448" s="69"/>
      <c r="D2448" s="69"/>
      <c r="E2448" s="69"/>
      <c r="F2448" s="69"/>
      <c r="G2448" s="58"/>
      <c r="H2448" s="2"/>
      <c r="I2448" s="2"/>
      <c r="J2448" s="2"/>
      <c r="K2448" s="1"/>
    </row>
    <row r="2449" spans="1:11" ht="15.75" customHeight="1">
      <c r="A2449" s="69"/>
      <c r="B2449" s="69"/>
      <c r="C2449" s="69"/>
      <c r="D2449" s="69"/>
      <c r="E2449" s="69"/>
      <c r="F2449" s="69"/>
      <c r="G2449" s="58"/>
      <c r="H2449" s="2"/>
      <c r="I2449" s="2"/>
      <c r="J2449" s="2"/>
      <c r="K2449" s="1"/>
    </row>
    <row r="2450" spans="1:11" ht="15.75" customHeight="1">
      <c r="A2450" s="69"/>
      <c r="B2450" s="69"/>
      <c r="C2450" s="69"/>
      <c r="D2450" s="69"/>
      <c r="E2450" s="69"/>
      <c r="F2450" s="69"/>
      <c r="G2450" s="58"/>
      <c r="H2450" s="2"/>
      <c r="I2450" s="2"/>
      <c r="J2450" s="2"/>
      <c r="K2450" s="1"/>
    </row>
    <row r="2451" spans="1:11" ht="15.75" customHeight="1">
      <c r="A2451" s="69"/>
      <c r="B2451" s="69"/>
      <c r="C2451" s="69"/>
      <c r="D2451" s="69"/>
      <c r="E2451" s="69"/>
      <c r="F2451" s="69"/>
      <c r="G2451" s="58"/>
      <c r="H2451" s="2"/>
      <c r="I2451" s="2"/>
      <c r="J2451" s="2"/>
      <c r="K2451" s="1"/>
    </row>
    <row r="2452" spans="1:11" ht="15.75" customHeight="1">
      <c r="A2452" s="69"/>
      <c r="B2452" s="69"/>
      <c r="C2452" s="69"/>
      <c r="D2452" s="69"/>
      <c r="E2452" s="69"/>
      <c r="F2452" s="69"/>
      <c r="G2452" s="58"/>
      <c r="H2452" s="2"/>
      <c r="I2452" s="2"/>
      <c r="J2452" s="2"/>
      <c r="K2452" s="1"/>
    </row>
    <row r="2453" spans="1:11" ht="15.75" customHeight="1">
      <c r="A2453" s="69"/>
      <c r="B2453" s="69"/>
      <c r="C2453" s="69"/>
      <c r="D2453" s="69"/>
      <c r="E2453" s="69"/>
      <c r="F2453" s="69"/>
      <c r="G2453" s="58"/>
      <c r="H2453" s="2"/>
      <c r="I2453" s="2"/>
      <c r="J2453" s="2"/>
      <c r="K2453" s="1"/>
    </row>
    <row r="2454" spans="1:11" ht="15.75" customHeight="1">
      <c r="A2454" s="69"/>
      <c r="B2454" s="69"/>
      <c r="C2454" s="69"/>
      <c r="D2454" s="69"/>
      <c r="E2454" s="69"/>
      <c r="F2454" s="69"/>
      <c r="G2454" s="58"/>
      <c r="H2454" s="2"/>
      <c r="I2454" s="2"/>
      <c r="J2454" s="2"/>
      <c r="K2454" s="1"/>
    </row>
    <row r="2455" spans="1:11" ht="15.75" customHeight="1">
      <c r="A2455" s="69"/>
      <c r="B2455" s="69"/>
      <c r="C2455" s="69"/>
      <c r="D2455" s="69"/>
      <c r="E2455" s="69"/>
      <c r="F2455" s="69"/>
      <c r="G2455" s="58"/>
      <c r="H2455" s="2"/>
      <c r="I2455" s="2"/>
      <c r="J2455" s="2"/>
      <c r="K2455" s="1"/>
    </row>
    <row r="2456" spans="1:11" ht="15.75" customHeight="1">
      <c r="A2456" s="69"/>
      <c r="B2456" s="69"/>
      <c r="C2456" s="69"/>
      <c r="D2456" s="69"/>
      <c r="E2456" s="69"/>
      <c r="F2456" s="69"/>
      <c r="G2456" s="58"/>
      <c r="H2456" s="2"/>
      <c r="I2456" s="2"/>
      <c r="J2456" s="2"/>
      <c r="K2456" s="1"/>
    </row>
    <row r="2457" spans="1:11" ht="15.75" customHeight="1">
      <c r="A2457" s="69"/>
      <c r="B2457" s="69"/>
      <c r="C2457" s="69"/>
      <c r="D2457" s="69"/>
      <c r="E2457" s="69"/>
      <c r="F2457" s="69"/>
      <c r="G2457" s="58"/>
      <c r="H2457" s="2"/>
      <c r="I2457" s="2"/>
      <c r="J2457" s="2"/>
      <c r="K2457" s="1"/>
    </row>
    <row r="2458" spans="1:11" ht="15.75" customHeight="1">
      <c r="A2458" s="69"/>
      <c r="B2458" s="69"/>
      <c r="C2458" s="69"/>
      <c r="D2458" s="69"/>
      <c r="E2458" s="69"/>
      <c r="F2458" s="69"/>
      <c r="G2458" s="58"/>
      <c r="H2458" s="2"/>
      <c r="I2458" s="2"/>
      <c r="J2458" s="2"/>
      <c r="K2458" s="1"/>
    </row>
    <row r="2459" spans="1:11" ht="15.75" customHeight="1">
      <c r="A2459" s="69"/>
      <c r="B2459" s="69"/>
      <c r="C2459" s="69"/>
      <c r="D2459" s="69"/>
      <c r="E2459" s="69"/>
      <c r="F2459" s="69"/>
      <c r="G2459" s="58"/>
      <c r="H2459" s="2"/>
      <c r="I2459" s="2"/>
      <c r="J2459" s="2"/>
      <c r="K2459" s="1"/>
    </row>
    <row r="2460" spans="1:11" ht="15.75" customHeight="1">
      <c r="A2460" s="69"/>
      <c r="B2460" s="69"/>
      <c r="C2460" s="69"/>
      <c r="D2460" s="69"/>
      <c r="E2460" s="69"/>
      <c r="F2460" s="69"/>
      <c r="G2460" s="58"/>
      <c r="H2460" s="2"/>
      <c r="I2460" s="2"/>
      <c r="J2460" s="2"/>
      <c r="K2460" s="1"/>
    </row>
    <row r="2461" spans="1:11" ht="15.75" customHeight="1">
      <c r="A2461" s="69"/>
      <c r="B2461" s="69"/>
      <c r="C2461" s="69"/>
      <c r="D2461" s="69"/>
      <c r="E2461" s="69"/>
      <c r="F2461" s="69"/>
      <c r="G2461" s="58"/>
      <c r="H2461" s="2"/>
      <c r="I2461" s="2"/>
      <c r="J2461" s="2"/>
      <c r="K2461" s="1"/>
    </row>
    <row r="2462" spans="1:11" ht="15.75" customHeight="1">
      <c r="A2462" s="69"/>
      <c r="B2462" s="69"/>
      <c r="C2462" s="69"/>
      <c r="D2462" s="69"/>
      <c r="E2462" s="69"/>
      <c r="F2462" s="69"/>
      <c r="G2462" s="58"/>
      <c r="H2462" s="2"/>
      <c r="I2462" s="2"/>
      <c r="J2462" s="2"/>
      <c r="K2462" s="1"/>
    </row>
    <row r="2463" spans="1:11" ht="15.75" customHeight="1">
      <c r="A2463" s="69"/>
      <c r="B2463" s="69"/>
      <c r="C2463" s="69"/>
      <c r="D2463" s="69"/>
      <c r="E2463" s="69"/>
      <c r="F2463" s="69"/>
      <c r="G2463" s="58"/>
      <c r="H2463" s="2"/>
      <c r="I2463" s="2"/>
      <c r="J2463" s="2"/>
      <c r="K2463" s="1"/>
    </row>
    <row r="2464" spans="1:11" ht="15.75" customHeight="1">
      <c r="A2464" s="69"/>
      <c r="B2464" s="69"/>
      <c r="C2464" s="69"/>
      <c r="D2464" s="69"/>
      <c r="E2464" s="69"/>
      <c r="F2464" s="69"/>
      <c r="G2464" s="58"/>
      <c r="H2464" s="2"/>
      <c r="I2464" s="2"/>
      <c r="J2464" s="2"/>
      <c r="K2464" s="1"/>
    </row>
    <row r="2465" spans="1:11" ht="15.75" customHeight="1">
      <c r="A2465" s="69"/>
      <c r="B2465" s="69"/>
      <c r="C2465" s="69"/>
      <c r="D2465" s="69"/>
      <c r="E2465" s="69"/>
      <c r="F2465" s="69"/>
      <c r="G2465" s="58"/>
      <c r="H2465" s="2"/>
      <c r="I2465" s="2"/>
      <c r="J2465" s="2"/>
      <c r="K2465" s="1"/>
    </row>
    <row r="2466" spans="1:11" ht="15.75" customHeight="1">
      <c r="A2466" s="69"/>
      <c r="B2466" s="69"/>
      <c r="C2466" s="69"/>
      <c r="D2466" s="69"/>
      <c r="E2466" s="69"/>
      <c r="F2466" s="69"/>
      <c r="G2466" s="58"/>
      <c r="H2466" s="2"/>
      <c r="I2466" s="2"/>
      <c r="J2466" s="2"/>
      <c r="K2466" s="1"/>
    </row>
    <row r="2467" spans="1:11" ht="15.75" customHeight="1">
      <c r="A2467" s="69"/>
      <c r="B2467" s="69"/>
      <c r="C2467" s="69"/>
      <c r="D2467" s="69"/>
      <c r="E2467" s="69"/>
      <c r="F2467" s="69"/>
      <c r="G2467" s="58"/>
      <c r="H2467" s="2"/>
      <c r="I2467" s="2"/>
      <c r="J2467" s="2"/>
      <c r="K2467" s="1"/>
    </row>
    <row r="2468" spans="1:11" ht="15.75" customHeight="1">
      <c r="A2468" s="69"/>
      <c r="B2468" s="69"/>
      <c r="C2468" s="69"/>
      <c r="D2468" s="69"/>
      <c r="E2468" s="69"/>
      <c r="F2468" s="69"/>
      <c r="G2468" s="58"/>
      <c r="H2468" s="2"/>
      <c r="I2468" s="2"/>
      <c r="J2468" s="2"/>
      <c r="K2468" s="1"/>
    </row>
    <row r="2469" spans="1:11" ht="15.75" customHeight="1">
      <c r="A2469" s="69"/>
      <c r="B2469" s="69"/>
      <c r="C2469" s="69"/>
      <c r="D2469" s="69"/>
      <c r="E2469" s="69"/>
      <c r="F2469" s="69"/>
      <c r="G2469" s="58"/>
      <c r="H2469" s="2"/>
      <c r="I2469" s="2"/>
      <c r="J2469" s="2"/>
      <c r="K2469" s="1"/>
    </row>
    <row r="2470" spans="1:11" ht="15.75" customHeight="1">
      <c r="A2470" s="69"/>
      <c r="B2470" s="69"/>
      <c r="C2470" s="69"/>
      <c r="D2470" s="69"/>
      <c r="E2470" s="69"/>
      <c r="F2470" s="69"/>
      <c r="G2470" s="58"/>
      <c r="H2470" s="2"/>
      <c r="I2470" s="2"/>
      <c r="J2470" s="2"/>
      <c r="K2470" s="1"/>
    </row>
    <row r="2471" spans="1:11" ht="15.75" customHeight="1">
      <c r="A2471" s="69"/>
      <c r="B2471" s="69"/>
      <c r="C2471" s="69"/>
      <c r="D2471" s="69"/>
      <c r="E2471" s="69"/>
      <c r="F2471" s="69"/>
      <c r="G2471" s="58"/>
      <c r="H2471" s="2"/>
      <c r="I2471" s="2"/>
      <c r="J2471" s="2"/>
      <c r="K2471" s="1"/>
    </row>
    <row r="2472" spans="1:11" ht="15.75" customHeight="1">
      <c r="A2472" s="69"/>
      <c r="B2472" s="69"/>
      <c r="C2472" s="69"/>
      <c r="D2472" s="69"/>
      <c r="E2472" s="69"/>
      <c r="F2472" s="69"/>
      <c r="G2472" s="58"/>
      <c r="H2472" s="2"/>
      <c r="I2472" s="2"/>
      <c r="J2472" s="2"/>
      <c r="K2472" s="1"/>
    </row>
    <row r="2473" spans="1:11" ht="15.75" customHeight="1">
      <c r="A2473" s="69"/>
      <c r="B2473" s="69"/>
      <c r="C2473" s="69"/>
      <c r="D2473" s="69"/>
      <c r="E2473" s="69"/>
      <c r="F2473" s="69"/>
      <c r="G2473" s="58"/>
      <c r="H2473" s="2"/>
      <c r="I2473" s="2"/>
      <c r="J2473" s="2"/>
      <c r="K2473" s="1"/>
    </row>
    <row r="2474" spans="1:11" ht="15.75" customHeight="1">
      <c r="A2474" s="69"/>
      <c r="B2474" s="69"/>
      <c r="C2474" s="69"/>
      <c r="D2474" s="69"/>
      <c r="E2474" s="69"/>
      <c r="F2474" s="69"/>
      <c r="G2474" s="58"/>
      <c r="H2474" s="2"/>
      <c r="I2474" s="2"/>
      <c r="J2474" s="2"/>
      <c r="K2474" s="1"/>
    </row>
    <row r="2475" spans="1:11" ht="15.75" customHeight="1">
      <c r="A2475" s="69"/>
      <c r="B2475" s="69"/>
      <c r="C2475" s="69"/>
      <c r="D2475" s="69"/>
      <c r="E2475" s="69"/>
      <c r="F2475" s="69"/>
      <c r="G2475" s="58"/>
      <c r="H2475" s="2"/>
      <c r="I2475" s="2"/>
      <c r="J2475" s="2"/>
      <c r="K2475" s="1"/>
    </row>
    <row r="2476" spans="1:11" ht="15.75" customHeight="1">
      <c r="A2476" s="69"/>
      <c r="B2476" s="69"/>
      <c r="C2476" s="69"/>
      <c r="D2476" s="69"/>
      <c r="E2476" s="69"/>
      <c r="F2476" s="69"/>
      <c r="G2476" s="58"/>
      <c r="H2476" s="2"/>
      <c r="I2476" s="2"/>
      <c r="J2476" s="2"/>
      <c r="K2476" s="1"/>
    </row>
    <row r="2477" spans="1:11" ht="15.75" customHeight="1">
      <c r="A2477" s="69"/>
      <c r="B2477" s="69"/>
      <c r="C2477" s="69"/>
      <c r="D2477" s="69"/>
      <c r="E2477" s="69"/>
      <c r="F2477" s="69"/>
      <c r="G2477" s="58"/>
      <c r="H2477" s="2"/>
      <c r="I2477" s="2"/>
      <c r="J2477" s="2"/>
      <c r="K2477" s="1"/>
    </row>
    <row r="2478" spans="1:11" ht="15.75" customHeight="1">
      <c r="A2478" s="69"/>
      <c r="B2478" s="69"/>
      <c r="C2478" s="69"/>
      <c r="D2478" s="69"/>
      <c r="E2478" s="69"/>
      <c r="F2478" s="69"/>
      <c r="G2478" s="58"/>
      <c r="H2478" s="2"/>
      <c r="I2478" s="2"/>
      <c r="J2478" s="2"/>
      <c r="K2478" s="1"/>
    </row>
    <row r="2479" spans="1:11" ht="15.75" customHeight="1">
      <c r="A2479" s="69"/>
      <c r="B2479" s="69"/>
      <c r="C2479" s="69"/>
      <c r="D2479" s="69"/>
      <c r="E2479" s="69"/>
      <c r="F2479" s="69"/>
      <c r="G2479" s="58"/>
      <c r="H2479" s="2"/>
      <c r="I2479" s="2"/>
      <c r="J2479" s="2"/>
      <c r="K2479" s="1"/>
    </row>
    <row r="2480" spans="1:11" ht="15.75" customHeight="1">
      <c r="A2480" s="69"/>
      <c r="B2480" s="69"/>
      <c r="C2480" s="69"/>
      <c r="D2480" s="69"/>
      <c r="E2480" s="69"/>
      <c r="F2480" s="69"/>
      <c r="G2480" s="58"/>
      <c r="H2480" s="2"/>
      <c r="I2480" s="2"/>
      <c r="J2480" s="2"/>
      <c r="K2480" s="1"/>
    </row>
    <row r="2481" spans="1:11" ht="15.75" customHeight="1">
      <c r="A2481" s="69"/>
      <c r="B2481" s="69"/>
      <c r="C2481" s="69"/>
      <c r="D2481" s="69"/>
      <c r="E2481" s="69"/>
      <c r="F2481" s="69"/>
      <c r="G2481" s="58"/>
      <c r="H2481" s="2"/>
      <c r="I2481" s="2"/>
      <c r="J2481" s="2"/>
      <c r="K2481" s="1"/>
    </row>
    <row r="2482" spans="1:11" ht="15.75" customHeight="1">
      <c r="A2482" s="69"/>
      <c r="B2482" s="69"/>
      <c r="C2482" s="69"/>
      <c r="D2482" s="69"/>
      <c r="E2482" s="69"/>
      <c r="F2482" s="69"/>
      <c r="G2482" s="58"/>
      <c r="H2482" s="2"/>
      <c r="I2482" s="2"/>
      <c r="J2482" s="2"/>
      <c r="K2482" s="1"/>
    </row>
    <row r="2483" spans="1:11" ht="15.75" customHeight="1">
      <c r="A2483" s="69"/>
      <c r="B2483" s="69"/>
      <c r="C2483" s="69"/>
      <c r="D2483" s="69"/>
      <c r="E2483" s="69"/>
      <c r="F2483" s="69"/>
      <c r="G2483" s="58"/>
      <c r="H2483" s="2"/>
      <c r="I2483" s="2"/>
      <c r="J2483" s="2"/>
      <c r="K2483" s="1"/>
    </row>
    <row r="2484" spans="1:11" ht="15.75" customHeight="1">
      <c r="A2484" s="69"/>
      <c r="B2484" s="69"/>
      <c r="C2484" s="69"/>
      <c r="D2484" s="69"/>
      <c r="E2484" s="69"/>
      <c r="F2484" s="69"/>
      <c r="G2484" s="58"/>
      <c r="H2484" s="2"/>
      <c r="I2484" s="2"/>
      <c r="J2484" s="2"/>
      <c r="K2484" s="1"/>
    </row>
    <row r="2485" spans="1:11" ht="15.75" customHeight="1">
      <c r="A2485" s="69"/>
      <c r="B2485" s="69"/>
      <c r="C2485" s="69"/>
      <c r="D2485" s="69"/>
      <c r="E2485" s="69"/>
      <c r="F2485" s="69"/>
      <c r="G2485" s="58"/>
      <c r="H2485" s="2"/>
      <c r="I2485" s="2"/>
      <c r="J2485" s="2"/>
      <c r="K2485" s="1"/>
    </row>
    <row r="2486" spans="1:11" ht="15.75" customHeight="1">
      <c r="A2486" s="69"/>
      <c r="B2486" s="69"/>
      <c r="C2486" s="69"/>
      <c r="D2486" s="69"/>
      <c r="E2486" s="69"/>
      <c r="F2486" s="69"/>
      <c r="G2486" s="58"/>
      <c r="H2486" s="2"/>
      <c r="I2486" s="2"/>
      <c r="J2486" s="2"/>
      <c r="K2486" s="1"/>
    </row>
    <row r="2487" spans="1:11" ht="15.75" customHeight="1">
      <c r="A2487" s="69"/>
      <c r="B2487" s="69"/>
      <c r="C2487" s="69"/>
      <c r="D2487" s="69"/>
      <c r="E2487" s="69"/>
      <c r="F2487" s="69"/>
      <c r="G2487" s="58"/>
      <c r="H2487" s="2"/>
      <c r="I2487" s="2"/>
      <c r="J2487" s="2"/>
      <c r="K2487" s="1"/>
    </row>
    <row r="2488" spans="1:11" ht="15.75" customHeight="1">
      <c r="A2488" s="69"/>
      <c r="B2488" s="69"/>
      <c r="C2488" s="69"/>
      <c r="D2488" s="69"/>
      <c r="E2488" s="69"/>
      <c r="F2488" s="69"/>
      <c r="G2488" s="58"/>
      <c r="H2488" s="2"/>
      <c r="I2488" s="2"/>
      <c r="J2488" s="2"/>
      <c r="K2488" s="1"/>
    </row>
    <row r="2489" spans="1:11" ht="15.75" customHeight="1">
      <c r="A2489" s="69"/>
      <c r="B2489" s="69"/>
      <c r="C2489" s="69"/>
      <c r="D2489" s="69"/>
      <c r="E2489" s="69"/>
      <c r="F2489" s="69"/>
      <c r="G2489" s="58"/>
      <c r="H2489" s="2"/>
      <c r="I2489" s="2"/>
      <c r="J2489" s="2"/>
      <c r="K2489" s="1"/>
    </row>
    <row r="2490" spans="1:11" ht="15.75" customHeight="1">
      <c r="A2490" s="69"/>
      <c r="B2490" s="69"/>
      <c r="C2490" s="69"/>
      <c r="D2490" s="69"/>
      <c r="E2490" s="69"/>
      <c r="F2490" s="69"/>
      <c r="G2490" s="58"/>
      <c r="H2490" s="2"/>
      <c r="I2490" s="2"/>
      <c r="J2490" s="2"/>
      <c r="K2490" s="1"/>
    </row>
    <row r="2491" spans="1:11" ht="15.75" customHeight="1">
      <c r="A2491" s="69"/>
      <c r="B2491" s="69"/>
      <c r="C2491" s="69"/>
      <c r="D2491" s="69"/>
      <c r="E2491" s="69"/>
      <c r="F2491" s="69"/>
      <c r="G2491" s="58"/>
      <c r="H2491" s="2"/>
      <c r="I2491" s="2"/>
      <c r="J2491" s="2"/>
      <c r="K2491" s="1"/>
    </row>
    <row r="2492" spans="1:11" ht="15.75" customHeight="1">
      <c r="A2492" s="69"/>
      <c r="B2492" s="69"/>
      <c r="C2492" s="69"/>
      <c r="D2492" s="69"/>
      <c r="E2492" s="69"/>
      <c r="F2492" s="69"/>
      <c r="G2492" s="58"/>
      <c r="H2492" s="2"/>
      <c r="I2492" s="2"/>
      <c r="J2492" s="2"/>
      <c r="K2492" s="1"/>
    </row>
    <row r="2493" spans="1:11" ht="15.75" customHeight="1">
      <c r="A2493" s="69"/>
      <c r="B2493" s="69"/>
      <c r="C2493" s="69"/>
      <c r="D2493" s="69"/>
      <c r="E2493" s="69"/>
      <c r="F2493" s="69"/>
      <c r="G2493" s="58"/>
      <c r="H2493" s="2"/>
      <c r="I2493" s="2"/>
      <c r="J2493" s="2"/>
      <c r="K2493" s="1"/>
    </row>
    <row r="2494" spans="1:11" ht="15.75" customHeight="1">
      <c r="A2494" s="69"/>
      <c r="B2494" s="69"/>
      <c r="C2494" s="69"/>
      <c r="D2494" s="69"/>
      <c r="E2494" s="69"/>
      <c r="F2494" s="69"/>
      <c r="G2494" s="58"/>
      <c r="H2494" s="2"/>
      <c r="I2494" s="2"/>
      <c r="J2494" s="2"/>
      <c r="K2494" s="1"/>
    </row>
    <row r="2495" spans="1:11" ht="15.75" customHeight="1">
      <c r="A2495" s="69"/>
      <c r="B2495" s="69"/>
      <c r="C2495" s="69"/>
      <c r="D2495" s="69"/>
      <c r="E2495" s="69"/>
      <c r="F2495" s="69"/>
      <c r="G2495" s="58"/>
      <c r="H2495" s="2"/>
      <c r="I2495" s="2"/>
      <c r="J2495" s="2"/>
      <c r="K2495" s="1"/>
    </row>
    <row r="2496" spans="1:11" ht="15.75" customHeight="1">
      <c r="A2496" s="69"/>
      <c r="B2496" s="69"/>
      <c r="C2496" s="69"/>
      <c r="D2496" s="69"/>
      <c r="E2496" s="69"/>
      <c r="F2496" s="69"/>
      <c r="G2496" s="58"/>
      <c r="H2496" s="2"/>
      <c r="I2496" s="2"/>
      <c r="J2496" s="2"/>
      <c r="K2496" s="1"/>
    </row>
    <row r="2497" spans="1:11" ht="15.75" customHeight="1">
      <c r="A2497" s="69"/>
      <c r="B2497" s="69"/>
      <c r="C2497" s="69"/>
      <c r="D2497" s="69"/>
      <c r="E2497" s="69"/>
      <c r="F2497" s="69"/>
      <c r="G2497" s="58"/>
      <c r="H2497" s="2"/>
      <c r="I2497" s="2"/>
      <c r="J2497" s="2"/>
      <c r="K2497" s="1"/>
    </row>
    <row r="2498" spans="1:11" ht="15.75" customHeight="1">
      <c r="A2498" s="69"/>
      <c r="B2498" s="69"/>
      <c r="C2498" s="69"/>
      <c r="D2498" s="69"/>
      <c r="E2498" s="69"/>
      <c r="F2498" s="69"/>
      <c r="G2498" s="58"/>
      <c r="H2498" s="2"/>
      <c r="I2498" s="2"/>
      <c r="J2498" s="2"/>
      <c r="K2498" s="1"/>
    </row>
    <row r="2499" spans="1:11" ht="15.75" customHeight="1">
      <c r="A2499" s="69"/>
      <c r="B2499" s="69"/>
      <c r="C2499" s="69"/>
      <c r="D2499" s="69"/>
      <c r="E2499" s="69"/>
      <c r="F2499" s="69"/>
      <c r="G2499" s="58"/>
      <c r="H2499" s="2"/>
      <c r="I2499" s="2"/>
      <c r="J2499" s="2"/>
      <c r="K2499" s="1"/>
    </row>
    <row r="2500" spans="1:11" ht="15.75" customHeight="1">
      <c r="A2500" s="69"/>
      <c r="B2500" s="69"/>
      <c r="C2500" s="69"/>
      <c r="D2500" s="69"/>
      <c r="E2500" s="69"/>
      <c r="F2500" s="69"/>
      <c r="G2500" s="58"/>
      <c r="H2500" s="2"/>
      <c r="I2500" s="2"/>
      <c r="J2500" s="2"/>
      <c r="K2500" s="1"/>
    </row>
    <row r="2501" spans="1:11" ht="15.75" customHeight="1">
      <c r="A2501" s="69"/>
      <c r="B2501" s="69"/>
      <c r="C2501" s="69"/>
      <c r="D2501" s="69"/>
      <c r="E2501" s="69"/>
      <c r="F2501" s="69"/>
      <c r="G2501" s="58"/>
      <c r="H2501" s="2"/>
      <c r="I2501" s="2"/>
      <c r="J2501" s="2"/>
      <c r="K2501" s="1"/>
    </row>
    <row r="2502" spans="1:11" ht="15.75" customHeight="1">
      <c r="A2502" s="69"/>
      <c r="B2502" s="69"/>
      <c r="C2502" s="69"/>
      <c r="D2502" s="69"/>
      <c r="E2502" s="69"/>
      <c r="F2502" s="69"/>
      <c r="G2502" s="58"/>
      <c r="H2502" s="2"/>
      <c r="I2502" s="2"/>
      <c r="J2502" s="2"/>
      <c r="K2502" s="1"/>
    </row>
    <row r="2503" spans="1:11" ht="15.75" customHeight="1">
      <c r="A2503" s="69"/>
      <c r="B2503" s="69"/>
      <c r="C2503" s="69"/>
      <c r="D2503" s="69"/>
      <c r="E2503" s="69"/>
      <c r="F2503" s="69"/>
      <c r="G2503" s="58"/>
      <c r="H2503" s="2"/>
      <c r="I2503" s="2"/>
      <c r="J2503" s="2"/>
      <c r="K2503" s="1"/>
    </row>
    <row r="2504" spans="1:11" ht="15.75" customHeight="1">
      <c r="A2504" s="69"/>
      <c r="B2504" s="69"/>
      <c r="C2504" s="69"/>
      <c r="D2504" s="69"/>
      <c r="E2504" s="69"/>
      <c r="F2504" s="69"/>
      <c r="G2504" s="58"/>
      <c r="H2504" s="2"/>
      <c r="I2504" s="2"/>
      <c r="J2504" s="2"/>
      <c r="K2504" s="1"/>
    </row>
    <row r="2505" spans="1:11" ht="15.75" customHeight="1">
      <c r="A2505" s="69"/>
      <c r="B2505" s="69"/>
      <c r="C2505" s="69"/>
      <c r="D2505" s="69"/>
      <c r="E2505" s="69"/>
      <c r="F2505" s="69"/>
      <c r="G2505" s="58"/>
      <c r="H2505" s="2"/>
      <c r="I2505" s="2"/>
      <c r="J2505" s="2"/>
      <c r="K2505" s="1"/>
    </row>
    <row r="2506" spans="1:11" ht="15.75" customHeight="1">
      <c r="A2506" s="69"/>
      <c r="B2506" s="69"/>
      <c r="C2506" s="69"/>
      <c r="D2506" s="69"/>
      <c r="E2506" s="69"/>
      <c r="F2506" s="69"/>
      <c r="G2506" s="58"/>
      <c r="H2506" s="2"/>
      <c r="I2506" s="2"/>
      <c r="J2506" s="2"/>
      <c r="K2506" s="1"/>
    </row>
    <row r="2507" spans="1:11" ht="15.75" customHeight="1">
      <c r="A2507" s="69"/>
      <c r="B2507" s="69"/>
      <c r="C2507" s="69"/>
      <c r="D2507" s="69"/>
      <c r="E2507" s="69"/>
      <c r="F2507" s="69"/>
      <c r="G2507" s="58"/>
      <c r="H2507" s="2"/>
      <c r="I2507" s="2"/>
      <c r="J2507" s="2"/>
      <c r="K2507" s="1"/>
    </row>
    <row r="2508" spans="1:11" ht="15.75" customHeight="1">
      <c r="A2508" s="69"/>
      <c r="B2508" s="69"/>
      <c r="C2508" s="69"/>
      <c r="D2508" s="69"/>
      <c r="E2508" s="69"/>
      <c r="F2508" s="69"/>
      <c r="G2508" s="58"/>
      <c r="H2508" s="2"/>
      <c r="I2508" s="2"/>
      <c r="J2508" s="2"/>
      <c r="K2508" s="1"/>
    </row>
    <row r="2509" spans="1:11" ht="15.75" customHeight="1">
      <c r="A2509" s="69"/>
      <c r="B2509" s="69"/>
      <c r="C2509" s="69"/>
      <c r="D2509" s="69"/>
      <c r="E2509" s="69"/>
      <c r="F2509" s="69"/>
      <c r="G2509" s="58"/>
      <c r="H2509" s="2"/>
      <c r="I2509" s="2"/>
      <c r="J2509" s="2"/>
      <c r="K2509" s="1"/>
    </row>
    <row r="2510" spans="1:11" ht="15.75" customHeight="1">
      <c r="A2510" s="69"/>
      <c r="B2510" s="69"/>
      <c r="C2510" s="69"/>
      <c r="D2510" s="69"/>
      <c r="E2510" s="69"/>
      <c r="F2510" s="69"/>
      <c r="G2510" s="58"/>
      <c r="H2510" s="2"/>
      <c r="I2510" s="2"/>
      <c r="J2510" s="2"/>
      <c r="K2510" s="1"/>
    </row>
    <row r="2511" spans="1:11" ht="15.75" customHeight="1">
      <c r="A2511" s="69"/>
      <c r="B2511" s="69"/>
      <c r="C2511" s="69"/>
      <c r="D2511" s="69"/>
      <c r="E2511" s="69"/>
      <c r="F2511" s="69"/>
      <c r="G2511" s="58"/>
      <c r="H2511" s="2"/>
      <c r="I2511" s="2"/>
      <c r="J2511" s="2"/>
      <c r="K2511" s="1"/>
    </row>
    <row r="2512" spans="1:11" ht="15.75" customHeight="1">
      <c r="A2512" s="69"/>
      <c r="B2512" s="69"/>
      <c r="C2512" s="69"/>
      <c r="D2512" s="69"/>
      <c r="E2512" s="69"/>
      <c r="F2512" s="69"/>
      <c r="G2512" s="58"/>
      <c r="H2512" s="2"/>
      <c r="I2512" s="2"/>
      <c r="J2512" s="2"/>
      <c r="K2512" s="1"/>
    </row>
    <row r="2513" spans="1:11" ht="15.75" customHeight="1">
      <c r="A2513" s="69"/>
      <c r="B2513" s="69"/>
      <c r="C2513" s="69"/>
      <c r="D2513" s="69"/>
      <c r="E2513" s="69"/>
      <c r="F2513" s="69"/>
      <c r="G2513" s="58"/>
      <c r="H2513" s="2"/>
      <c r="I2513" s="2"/>
      <c r="J2513" s="2"/>
      <c r="K2513" s="1"/>
    </row>
    <row r="2514" spans="1:11" ht="15.75" customHeight="1">
      <c r="A2514" s="69"/>
      <c r="B2514" s="69"/>
      <c r="C2514" s="69"/>
      <c r="D2514" s="69"/>
      <c r="E2514" s="69"/>
      <c r="F2514" s="69"/>
      <c r="G2514" s="58"/>
      <c r="H2514" s="2"/>
      <c r="I2514" s="2"/>
      <c r="J2514" s="2"/>
      <c r="K2514" s="1"/>
    </row>
    <row r="2515" spans="1:11" ht="15.75" customHeight="1">
      <c r="A2515" s="69"/>
      <c r="B2515" s="69"/>
      <c r="C2515" s="69"/>
      <c r="D2515" s="69"/>
      <c r="E2515" s="69"/>
      <c r="F2515" s="69"/>
      <c r="G2515" s="58"/>
      <c r="H2515" s="2"/>
      <c r="I2515" s="2"/>
      <c r="J2515" s="2"/>
      <c r="K2515" s="1"/>
    </row>
    <row r="2516" spans="1:11" ht="15.75" customHeight="1">
      <c r="A2516" s="69"/>
      <c r="B2516" s="69"/>
      <c r="C2516" s="69"/>
      <c r="D2516" s="69"/>
      <c r="E2516" s="69"/>
      <c r="F2516" s="69"/>
      <c r="G2516" s="58"/>
      <c r="H2516" s="2"/>
      <c r="I2516" s="2"/>
      <c r="J2516" s="2"/>
      <c r="K2516" s="1"/>
    </row>
    <row r="2517" spans="1:11" ht="15.75" customHeight="1">
      <c r="A2517" s="69"/>
      <c r="B2517" s="69"/>
      <c r="C2517" s="69"/>
      <c r="D2517" s="69"/>
      <c r="E2517" s="69"/>
      <c r="F2517" s="69"/>
      <c r="G2517" s="58"/>
      <c r="H2517" s="2"/>
      <c r="I2517" s="2"/>
      <c r="J2517" s="2"/>
      <c r="K2517" s="1"/>
    </row>
    <row r="2518" spans="1:11" ht="15.75" customHeight="1">
      <c r="A2518" s="69"/>
      <c r="B2518" s="69"/>
      <c r="C2518" s="69"/>
      <c r="D2518" s="69"/>
      <c r="E2518" s="69"/>
      <c r="F2518" s="69"/>
      <c r="G2518" s="58"/>
      <c r="H2518" s="2"/>
      <c r="I2518" s="2"/>
      <c r="J2518" s="2"/>
      <c r="K2518" s="1"/>
    </row>
    <row r="2519" spans="1:11" ht="15.75" customHeight="1">
      <c r="A2519" s="69"/>
      <c r="B2519" s="69"/>
      <c r="C2519" s="69"/>
      <c r="D2519" s="69"/>
      <c r="E2519" s="69"/>
      <c r="F2519" s="69"/>
      <c r="G2519" s="58"/>
      <c r="H2519" s="2"/>
      <c r="I2519" s="2"/>
      <c r="J2519" s="2"/>
      <c r="K2519" s="1"/>
    </row>
    <row r="2520" spans="1:11" ht="15.75" customHeight="1">
      <c r="A2520" s="69"/>
      <c r="B2520" s="69"/>
      <c r="C2520" s="69"/>
      <c r="D2520" s="69"/>
      <c r="E2520" s="69"/>
      <c r="F2520" s="69"/>
      <c r="G2520" s="58"/>
      <c r="H2520" s="2"/>
      <c r="I2520" s="2"/>
      <c r="J2520" s="2"/>
      <c r="K2520" s="1"/>
    </row>
    <row r="2521" spans="1:11" ht="15.75" customHeight="1">
      <c r="A2521" s="69"/>
      <c r="B2521" s="69"/>
      <c r="C2521" s="69"/>
      <c r="D2521" s="69"/>
      <c r="E2521" s="69"/>
      <c r="F2521" s="69"/>
      <c r="G2521" s="58"/>
      <c r="H2521" s="2"/>
      <c r="I2521" s="2"/>
      <c r="J2521" s="2"/>
      <c r="K2521" s="1"/>
    </row>
    <row r="2522" spans="1:11" ht="15.75" customHeight="1">
      <c r="A2522" s="69"/>
      <c r="B2522" s="69"/>
      <c r="C2522" s="69"/>
      <c r="D2522" s="69"/>
      <c r="E2522" s="69"/>
      <c r="F2522" s="69"/>
      <c r="G2522" s="58"/>
      <c r="H2522" s="2"/>
      <c r="I2522" s="2"/>
      <c r="J2522" s="2"/>
      <c r="K2522" s="1"/>
    </row>
    <row r="2523" spans="1:11" ht="15.75" customHeight="1">
      <c r="A2523" s="69"/>
      <c r="B2523" s="69"/>
      <c r="C2523" s="69"/>
      <c r="D2523" s="69"/>
      <c r="E2523" s="69"/>
      <c r="F2523" s="69"/>
      <c r="G2523" s="58"/>
      <c r="H2523" s="2"/>
      <c r="I2523" s="2"/>
      <c r="J2523" s="2"/>
      <c r="K2523" s="1"/>
    </row>
    <row r="2524" spans="1:11" ht="15.75" customHeight="1">
      <c r="A2524" s="69"/>
      <c r="B2524" s="69"/>
      <c r="C2524" s="69"/>
      <c r="D2524" s="69"/>
      <c r="E2524" s="69"/>
      <c r="F2524" s="69"/>
      <c r="G2524" s="58"/>
      <c r="H2524" s="2"/>
      <c r="I2524" s="2"/>
      <c r="J2524" s="2"/>
      <c r="K2524" s="1"/>
    </row>
    <row r="2525" spans="1:11" ht="15.75" customHeight="1">
      <c r="A2525" s="69"/>
      <c r="B2525" s="69"/>
      <c r="C2525" s="69"/>
      <c r="D2525" s="69"/>
      <c r="E2525" s="69"/>
      <c r="F2525" s="69"/>
      <c r="G2525" s="58"/>
      <c r="H2525" s="2"/>
      <c r="I2525" s="2"/>
      <c r="J2525" s="2"/>
      <c r="K2525" s="1"/>
    </row>
    <row r="2526" spans="1:11" ht="15.75" customHeight="1">
      <c r="A2526" s="69"/>
      <c r="B2526" s="69"/>
      <c r="C2526" s="69"/>
      <c r="D2526" s="69"/>
      <c r="E2526" s="69"/>
      <c r="F2526" s="69"/>
      <c r="G2526" s="58"/>
      <c r="H2526" s="2"/>
      <c r="I2526" s="2"/>
      <c r="J2526" s="2"/>
      <c r="K2526" s="1"/>
    </row>
    <row r="2527" spans="1:11" ht="15.75" customHeight="1">
      <c r="A2527" s="69"/>
      <c r="B2527" s="69"/>
      <c r="C2527" s="69"/>
      <c r="D2527" s="69"/>
      <c r="E2527" s="69"/>
      <c r="F2527" s="69"/>
      <c r="G2527" s="58"/>
      <c r="H2527" s="2"/>
      <c r="I2527" s="2"/>
      <c r="J2527" s="2"/>
      <c r="K2527" s="1"/>
    </row>
    <row r="2528" spans="1:11" ht="15.75" customHeight="1">
      <c r="A2528" s="69"/>
      <c r="B2528" s="69"/>
      <c r="C2528" s="69"/>
      <c r="D2528" s="69"/>
      <c r="E2528" s="69"/>
      <c r="F2528" s="69"/>
      <c r="G2528" s="58"/>
      <c r="H2528" s="2"/>
      <c r="I2528" s="2"/>
      <c r="J2528" s="2"/>
      <c r="K2528" s="1"/>
    </row>
    <row r="2529" spans="1:11" ht="15.75" customHeight="1">
      <c r="A2529" s="69"/>
      <c r="B2529" s="69"/>
      <c r="C2529" s="69"/>
      <c r="D2529" s="69"/>
      <c r="E2529" s="69"/>
      <c r="F2529" s="69"/>
      <c r="G2529" s="58"/>
      <c r="H2529" s="2"/>
      <c r="I2529" s="2"/>
      <c r="J2529" s="2"/>
      <c r="K2529" s="1"/>
    </row>
    <row r="2530" spans="1:11" ht="15.75" customHeight="1">
      <c r="A2530" s="69"/>
      <c r="B2530" s="69"/>
      <c r="C2530" s="69"/>
      <c r="D2530" s="69"/>
      <c r="E2530" s="69"/>
      <c r="F2530" s="69"/>
      <c r="G2530" s="58"/>
      <c r="H2530" s="2"/>
      <c r="I2530" s="2"/>
      <c r="J2530" s="2"/>
      <c r="K2530" s="1"/>
    </row>
    <row r="2531" spans="1:11" ht="15.75" customHeight="1">
      <c r="A2531" s="69"/>
      <c r="B2531" s="69"/>
      <c r="C2531" s="69"/>
      <c r="D2531" s="69"/>
      <c r="E2531" s="69"/>
      <c r="F2531" s="69"/>
      <c r="G2531" s="58"/>
      <c r="H2531" s="2"/>
      <c r="I2531" s="2"/>
      <c r="J2531" s="2"/>
      <c r="K2531" s="1"/>
    </row>
    <row r="2532" spans="1:11" ht="15.75" customHeight="1">
      <c r="A2532" s="69"/>
      <c r="B2532" s="69"/>
      <c r="C2532" s="69"/>
      <c r="D2532" s="69"/>
      <c r="E2532" s="69"/>
      <c r="F2532" s="69"/>
      <c r="G2532" s="58"/>
      <c r="H2532" s="2"/>
      <c r="I2532" s="2"/>
      <c r="J2532" s="2"/>
      <c r="K2532" s="1"/>
    </row>
    <row r="2533" spans="1:11" ht="15.75" customHeight="1">
      <c r="A2533" s="69"/>
      <c r="B2533" s="69"/>
      <c r="C2533" s="69"/>
      <c r="D2533" s="69"/>
      <c r="E2533" s="69"/>
      <c r="F2533" s="69"/>
      <c r="G2533" s="58"/>
      <c r="H2533" s="2"/>
      <c r="I2533" s="2"/>
      <c r="J2533" s="2"/>
      <c r="K2533" s="1"/>
    </row>
    <row r="2534" spans="1:11" ht="15.75" customHeight="1">
      <c r="A2534" s="69"/>
      <c r="B2534" s="69"/>
      <c r="C2534" s="69"/>
      <c r="D2534" s="69"/>
      <c r="E2534" s="69"/>
      <c r="F2534" s="69"/>
      <c r="G2534" s="58"/>
      <c r="H2534" s="2"/>
      <c r="I2534" s="2"/>
      <c r="J2534" s="2"/>
      <c r="K2534" s="1"/>
    </row>
    <row r="2535" spans="1:11" ht="15.75" customHeight="1">
      <c r="A2535" s="69"/>
      <c r="B2535" s="69"/>
      <c r="C2535" s="69"/>
      <c r="D2535" s="69"/>
      <c r="E2535" s="69"/>
      <c r="F2535" s="69"/>
      <c r="G2535" s="58"/>
      <c r="H2535" s="2"/>
      <c r="I2535" s="2"/>
      <c r="J2535" s="2"/>
      <c r="K2535" s="1"/>
    </row>
    <row r="2536" spans="1:11" ht="15.75" customHeight="1">
      <c r="A2536" s="69"/>
      <c r="B2536" s="69"/>
      <c r="C2536" s="69"/>
      <c r="D2536" s="69"/>
      <c r="E2536" s="69"/>
      <c r="F2536" s="69"/>
      <c r="G2536" s="58"/>
      <c r="H2536" s="2"/>
      <c r="I2536" s="2"/>
      <c r="J2536" s="2"/>
      <c r="K2536" s="1"/>
    </row>
    <row r="2537" spans="1:11" ht="15.75" customHeight="1">
      <c r="A2537" s="69"/>
      <c r="B2537" s="69"/>
      <c r="C2537" s="69"/>
      <c r="D2537" s="69"/>
      <c r="E2537" s="69"/>
      <c r="F2537" s="69"/>
      <c r="G2537" s="58"/>
      <c r="H2537" s="2"/>
      <c r="I2537" s="2"/>
      <c r="J2537" s="2"/>
      <c r="K2537" s="1"/>
    </row>
    <row r="2538" spans="1:11" ht="15.75" customHeight="1">
      <c r="A2538" s="69"/>
      <c r="B2538" s="69"/>
      <c r="C2538" s="69"/>
      <c r="D2538" s="69"/>
      <c r="E2538" s="69"/>
      <c r="F2538" s="69"/>
      <c r="G2538" s="58"/>
      <c r="H2538" s="2"/>
      <c r="I2538" s="2"/>
      <c r="J2538" s="2"/>
      <c r="K2538" s="1"/>
    </row>
    <row r="2539" spans="1:11" ht="15.75" customHeight="1">
      <c r="A2539" s="69"/>
      <c r="B2539" s="69"/>
      <c r="C2539" s="69"/>
      <c r="D2539" s="69"/>
      <c r="E2539" s="69"/>
      <c r="F2539" s="69"/>
      <c r="G2539" s="58"/>
      <c r="H2539" s="2"/>
      <c r="I2539" s="2"/>
      <c r="J2539" s="2"/>
      <c r="K2539" s="1"/>
    </row>
    <row r="2540" spans="1:11" ht="15.75" customHeight="1">
      <c r="A2540" s="69"/>
      <c r="B2540" s="69"/>
      <c r="C2540" s="69"/>
      <c r="D2540" s="69"/>
      <c r="E2540" s="69"/>
      <c r="F2540" s="69"/>
      <c r="G2540" s="58"/>
      <c r="H2540" s="2"/>
      <c r="I2540" s="2"/>
      <c r="J2540" s="2"/>
      <c r="K2540" s="1"/>
    </row>
    <row r="2541" spans="1:11" ht="15.75" customHeight="1">
      <c r="A2541" s="69"/>
      <c r="B2541" s="69"/>
      <c r="C2541" s="69"/>
      <c r="D2541" s="69"/>
      <c r="E2541" s="69"/>
      <c r="F2541" s="69"/>
      <c r="G2541" s="58"/>
      <c r="H2541" s="2"/>
      <c r="I2541" s="2"/>
      <c r="J2541" s="2"/>
      <c r="K2541" s="1"/>
    </row>
    <row r="2542" spans="1:11" ht="15.75" customHeight="1">
      <c r="A2542" s="69"/>
      <c r="B2542" s="69"/>
      <c r="C2542" s="69"/>
      <c r="D2542" s="69"/>
      <c r="E2542" s="69"/>
      <c r="F2542" s="69"/>
      <c r="G2542" s="58"/>
      <c r="H2542" s="2"/>
      <c r="I2542" s="2"/>
      <c r="J2542" s="2"/>
      <c r="K2542" s="1"/>
    </row>
    <row r="2543" spans="1:11" ht="15.75" customHeight="1">
      <c r="A2543" s="69"/>
      <c r="B2543" s="69"/>
      <c r="C2543" s="69"/>
      <c r="D2543" s="69"/>
      <c r="E2543" s="69"/>
      <c r="F2543" s="69"/>
      <c r="G2543" s="58"/>
      <c r="H2543" s="2"/>
      <c r="I2543" s="2"/>
      <c r="J2543" s="2"/>
      <c r="K2543" s="1"/>
    </row>
    <row r="2544" spans="1:11" ht="15.75" customHeight="1">
      <c r="A2544" s="69"/>
      <c r="B2544" s="69"/>
      <c r="C2544" s="69"/>
      <c r="D2544" s="69"/>
      <c r="E2544" s="69"/>
      <c r="F2544" s="69"/>
      <c r="G2544" s="58"/>
      <c r="H2544" s="2"/>
      <c r="I2544" s="2"/>
      <c r="J2544" s="2"/>
      <c r="K2544" s="1"/>
    </row>
    <row r="2545" spans="1:11" ht="15.75" customHeight="1">
      <c r="A2545" s="69"/>
      <c r="B2545" s="69"/>
      <c r="C2545" s="69"/>
      <c r="D2545" s="69"/>
      <c r="E2545" s="69"/>
      <c r="F2545" s="69"/>
      <c r="G2545" s="58"/>
      <c r="H2545" s="2"/>
      <c r="I2545" s="2"/>
      <c r="J2545" s="2"/>
      <c r="K2545" s="1"/>
    </row>
    <row r="2546" spans="1:11" ht="15.75" customHeight="1">
      <c r="A2546" s="69"/>
      <c r="B2546" s="69"/>
      <c r="C2546" s="69"/>
      <c r="D2546" s="69"/>
      <c r="E2546" s="69"/>
      <c r="F2546" s="69"/>
      <c r="G2546" s="58"/>
      <c r="H2546" s="2"/>
      <c r="I2546" s="2"/>
      <c r="J2546" s="2"/>
      <c r="K2546" s="1"/>
    </row>
    <row r="2547" spans="1:11" ht="15.75" customHeight="1">
      <c r="A2547" s="69"/>
      <c r="B2547" s="69"/>
      <c r="C2547" s="69"/>
      <c r="D2547" s="69"/>
      <c r="E2547" s="69"/>
      <c r="F2547" s="69"/>
      <c r="G2547" s="58"/>
      <c r="H2547" s="2"/>
      <c r="I2547" s="2"/>
      <c r="J2547" s="2"/>
      <c r="K2547" s="1"/>
    </row>
    <row r="2548" spans="1:11" ht="15.75" customHeight="1">
      <c r="A2548" s="69"/>
      <c r="B2548" s="69"/>
      <c r="C2548" s="69"/>
      <c r="D2548" s="69"/>
      <c r="E2548" s="69"/>
      <c r="F2548" s="69"/>
      <c r="G2548" s="58"/>
      <c r="H2548" s="2"/>
      <c r="I2548" s="2"/>
      <c r="J2548" s="2"/>
      <c r="K2548" s="1"/>
    </row>
    <row r="2549" spans="1:11" ht="15.75" customHeight="1">
      <c r="A2549" s="69"/>
      <c r="B2549" s="69"/>
      <c r="C2549" s="69"/>
      <c r="D2549" s="69"/>
      <c r="E2549" s="69"/>
      <c r="F2549" s="69"/>
      <c r="G2549" s="58"/>
      <c r="H2549" s="2"/>
      <c r="I2549" s="2"/>
      <c r="J2549" s="2"/>
      <c r="K2549" s="1"/>
    </row>
    <row r="2550" spans="1:11" ht="15.75" customHeight="1">
      <c r="A2550" s="69"/>
      <c r="B2550" s="69"/>
      <c r="C2550" s="69"/>
      <c r="D2550" s="69"/>
      <c r="E2550" s="69"/>
      <c r="F2550" s="69"/>
      <c r="G2550" s="58"/>
      <c r="H2550" s="2"/>
      <c r="I2550" s="2"/>
      <c r="J2550" s="2"/>
      <c r="K2550" s="1"/>
    </row>
    <row r="2551" spans="1:11" ht="15.75" customHeight="1">
      <c r="A2551" s="69"/>
      <c r="B2551" s="69"/>
      <c r="C2551" s="69"/>
      <c r="D2551" s="69"/>
      <c r="E2551" s="69"/>
      <c r="F2551" s="69"/>
      <c r="G2551" s="58"/>
      <c r="H2551" s="2"/>
      <c r="I2551" s="2"/>
      <c r="J2551" s="2"/>
      <c r="K2551" s="1"/>
    </row>
    <row r="2552" spans="1:11" ht="15.75" customHeight="1">
      <c r="A2552" s="69"/>
      <c r="B2552" s="69"/>
      <c r="C2552" s="69"/>
      <c r="D2552" s="69"/>
      <c r="E2552" s="69"/>
      <c r="F2552" s="69"/>
      <c r="G2552" s="58"/>
      <c r="H2552" s="2"/>
      <c r="I2552" s="2"/>
      <c r="J2552" s="2"/>
      <c r="K2552" s="1"/>
    </row>
    <row r="2553" spans="1:11" ht="15.75" customHeight="1">
      <c r="A2553" s="69"/>
      <c r="B2553" s="69"/>
      <c r="C2553" s="69"/>
      <c r="D2553" s="69"/>
      <c r="E2553" s="69"/>
      <c r="F2553" s="69"/>
      <c r="G2553" s="58"/>
      <c r="H2553" s="2"/>
      <c r="I2553" s="2"/>
      <c r="J2553" s="2"/>
      <c r="K2553" s="1"/>
    </row>
    <row r="2554" spans="1:11" ht="15.75" customHeight="1">
      <c r="A2554" s="69"/>
      <c r="B2554" s="69"/>
      <c r="C2554" s="69"/>
      <c r="D2554" s="69"/>
      <c r="E2554" s="69"/>
      <c r="F2554" s="69"/>
      <c r="G2554" s="58"/>
      <c r="H2554" s="2"/>
      <c r="I2554" s="2"/>
      <c r="J2554" s="2"/>
      <c r="K2554" s="1"/>
    </row>
    <row r="2555" spans="1:11" ht="15.75" customHeight="1">
      <c r="A2555" s="69"/>
      <c r="B2555" s="69"/>
      <c r="C2555" s="69"/>
      <c r="D2555" s="69"/>
      <c r="E2555" s="69"/>
      <c r="F2555" s="69"/>
      <c r="G2555" s="58"/>
      <c r="H2555" s="2"/>
      <c r="I2555" s="2"/>
      <c r="J2555" s="2"/>
      <c r="K2555" s="1"/>
    </row>
    <row r="2556" spans="1:11" ht="15.75" customHeight="1">
      <c r="A2556" s="69"/>
      <c r="B2556" s="69"/>
      <c r="C2556" s="69"/>
      <c r="D2556" s="69"/>
      <c r="E2556" s="69"/>
      <c r="F2556" s="69"/>
      <c r="G2556" s="58"/>
      <c r="H2556" s="2"/>
      <c r="I2556" s="2"/>
      <c r="J2556" s="2"/>
      <c r="K2556" s="1"/>
    </row>
    <row r="2557" spans="1:11" ht="15.75" customHeight="1">
      <c r="A2557" s="69"/>
      <c r="B2557" s="69"/>
      <c r="C2557" s="69"/>
      <c r="D2557" s="69"/>
      <c r="E2557" s="69"/>
      <c r="F2557" s="69"/>
      <c r="G2557" s="58"/>
      <c r="H2557" s="2"/>
      <c r="I2557" s="2"/>
      <c r="J2557" s="2"/>
      <c r="K2557" s="1"/>
    </row>
    <row r="2558" spans="1:11" ht="15.75" customHeight="1">
      <c r="A2558" s="69"/>
      <c r="B2558" s="69"/>
      <c r="C2558" s="69"/>
      <c r="D2558" s="69"/>
      <c r="E2558" s="69"/>
      <c r="F2558" s="69"/>
      <c r="G2558" s="58"/>
      <c r="H2558" s="2"/>
      <c r="I2558" s="2"/>
      <c r="J2558" s="2"/>
      <c r="K2558" s="1"/>
    </row>
    <row r="2559" spans="1:11" ht="15.75" customHeight="1">
      <c r="A2559" s="69"/>
      <c r="B2559" s="69"/>
      <c r="C2559" s="69"/>
      <c r="D2559" s="69"/>
      <c r="E2559" s="69"/>
      <c r="F2559" s="69"/>
      <c r="G2559" s="58"/>
      <c r="H2559" s="2"/>
      <c r="I2559" s="2"/>
      <c r="J2559" s="2"/>
      <c r="K2559" s="1"/>
    </row>
    <row r="2560" spans="1:11" ht="15.75" customHeight="1">
      <c r="A2560" s="69"/>
      <c r="B2560" s="69"/>
      <c r="C2560" s="69"/>
      <c r="D2560" s="69"/>
      <c r="E2560" s="69"/>
      <c r="F2560" s="69"/>
      <c r="G2560" s="58"/>
      <c r="H2560" s="2"/>
      <c r="I2560" s="2"/>
      <c r="J2560" s="2"/>
      <c r="K2560" s="1"/>
    </row>
    <row r="2561" spans="1:11" ht="15.75" customHeight="1">
      <c r="A2561" s="69"/>
      <c r="B2561" s="69"/>
      <c r="C2561" s="69"/>
      <c r="D2561" s="69"/>
      <c r="E2561" s="69"/>
      <c r="F2561" s="69"/>
      <c r="G2561" s="58"/>
      <c r="H2561" s="2"/>
      <c r="I2561" s="2"/>
      <c r="J2561" s="2"/>
      <c r="K2561" s="1"/>
    </row>
    <row r="2562" spans="1:11" ht="15.75" customHeight="1">
      <c r="A2562" s="69"/>
      <c r="B2562" s="69"/>
      <c r="C2562" s="69"/>
      <c r="D2562" s="69"/>
      <c r="E2562" s="69"/>
      <c r="F2562" s="69"/>
      <c r="G2562" s="58"/>
      <c r="H2562" s="2"/>
      <c r="I2562" s="2"/>
      <c r="J2562" s="2"/>
      <c r="K2562" s="1"/>
    </row>
    <row r="2563" spans="1:11" ht="15.75" customHeight="1">
      <c r="A2563" s="69"/>
      <c r="B2563" s="69"/>
      <c r="C2563" s="69"/>
      <c r="D2563" s="69"/>
      <c r="E2563" s="69"/>
      <c r="F2563" s="69"/>
      <c r="G2563" s="58"/>
      <c r="H2563" s="2"/>
      <c r="I2563" s="2"/>
      <c r="J2563" s="2"/>
      <c r="K2563" s="1"/>
    </row>
    <row r="2564" spans="1:11" ht="15.75" customHeight="1">
      <c r="A2564" s="69"/>
      <c r="B2564" s="69"/>
      <c r="C2564" s="69"/>
      <c r="D2564" s="69"/>
      <c r="E2564" s="69"/>
      <c r="F2564" s="69"/>
      <c r="G2564" s="58"/>
      <c r="H2564" s="2"/>
      <c r="I2564" s="2"/>
      <c r="J2564" s="2"/>
      <c r="K2564" s="1"/>
    </row>
    <row r="2565" spans="1:11" ht="15.75" customHeight="1">
      <c r="A2565" s="69"/>
      <c r="B2565" s="69"/>
      <c r="C2565" s="69"/>
      <c r="D2565" s="69"/>
      <c r="E2565" s="69"/>
      <c r="F2565" s="69"/>
      <c r="G2565" s="58"/>
      <c r="H2565" s="2"/>
      <c r="I2565" s="2"/>
      <c r="J2565" s="2"/>
      <c r="K2565" s="1"/>
    </row>
    <row r="2566" spans="1:11" ht="15.75" customHeight="1">
      <c r="A2566" s="69"/>
      <c r="B2566" s="69"/>
      <c r="C2566" s="69"/>
      <c r="D2566" s="69"/>
      <c r="E2566" s="69"/>
      <c r="F2566" s="69"/>
      <c r="G2566" s="58"/>
      <c r="H2566" s="2"/>
      <c r="I2566" s="2"/>
      <c r="J2566" s="2"/>
      <c r="K2566" s="1"/>
    </row>
    <row r="2567" spans="1:11" ht="15.75" customHeight="1">
      <c r="A2567" s="69"/>
      <c r="B2567" s="69"/>
      <c r="C2567" s="69"/>
      <c r="D2567" s="69"/>
      <c r="E2567" s="69"/>
      <c r="F2567" s="69"/>
      <c r="G2567" s="58"/>
      <c r="H2567" s="2"/>
      <c r="I2567" s="2"/>
      <c r="J2567" s="2"/>
      <c r="K2567" s="1"/>
    </row>
    <row r="2568" spans="1:11" ht="15.75" customHeight="1">
      <c r="A2568" s="69"/>
      <c r="B2568" s="69"/>
      <c r="C2568" s="69"/>
      <c r="D2568" s="69"/>
      <c r="E2568" s="69"/>
      <c r="F2568" s="69"/>
      <c r="G2568" s="58"/>
      <c r="H2568" s="2"/>
      <c r="I2568" s="2"/>
      <c r="J2568" s="2"/>
      <c r="K2568" s="1"/>
    </row>
    <row r="2569" spans="1:11" ht="15.75" customHeight="1">
      <c r="A2569" s="69"/>
      <c r="B2569" s="69"/>
      <c r="C2569" s="69"/>
      <c r="D2569" s="69"/>
      <c r="E2569" s="69"/>
      <c r="F2569" s="69"/>
      <c r="G2569" s="58"/>
      <c r="H2569" s="2"/>
      <c r="I2569" s="2"/>
      <c r="J2569" s="2"/>
      <c r="K2569" s="1"/>
    </row>
    <row r="2570" spans="1:11" ht="15.75" customHeight="1">
      <c r="A2570" s="69"/>
      <c r="B2570" s="69"/>
      <c r="C2570" s="69"/>
      <c r="D2570" s="69"/>
      <c r="E2570" s="69"/>
      <c r="F2570" s="69"/>
      <c r="G2570" s="58"/>
      <c r="H2570" s="2"/>
      <c r="I2570" s="2"/>
      <c r="J2570" s="2"/>
      <c r="K2570" s="1"/>
    </row>
    <row r="2571" spans="1:11" ht="15.75" customHeight="1">
      <c r="A2571" s="69"/>
      <c r="B2571" s="69"/>
      <c r="C2571" s="69"/>
      <c r="D2571" s="69"/>
      <c r="E2571" s="69"/>
      <c r="F2571" s="69"/>
      <c r="G2571" s="58"/>
      <c r="H2571" s="2"/>
      <c r="I2571" s="2"/>
      <c r="J2571" s="2"/>
      <c r="K2571" s="1"/>
    </row>
    <row r="2572" spans="1:11" ht="15.75" customHeight="1">
      <c r="A2572" s="69"/>
      <c r="B2572" s="69"/>
      <c r="C2572" s="69"/>
      <c r="D2572" s="69"/>
      <c r="E2572" s="69"/>
      <c r="F2572" s="69"/>
      <c r="G2572" s="58"/>
      <c r="H2572" s="2"/>
      <c r="I2572" s="2"/>
      <c r="J2572" s="2"/>
      <c r="K2572" s="1"/>
    </row>
    <row r="2573" spans="1:11" ht="15.75" customHeight="1">
      <c r="A2573" s="69"/>
      <c r="B2573" s="69"/>
      <c r="C2573" s="69"/>
      <c r="D2573" s="69"/>
      <c r="E2573" s="69"/>
      <c r="F2573" s="69"/>
      <c r="G2573" s="58"/>
      <c r="H2573" s="2"/>
      <c r="I2573" s="2"/>
      <c r="J2573" s="2"/>
      <c r="K2573" s="1"/>
    </row>
    <row r="2574" spans="1:11" ht="15.75" customHeight="1">
      <c r="A2574" s="69"/>
      <c r="B2574" s="69"/>
      <c r="C2574" s="69"/>
      <c r="D2574" s="69"/>
      <c r="E2574" s="69"/>
      <c r="F2574" s="69"/>
      <c r="G2574" s="58"/>
      <c r="H2574" s="2"/>
      <c r="I2574" s="2"/>
      <c r="J2574" s="2"/>
      <c r="K2574" s="1"/>
    </row>
    <row r="2575" spans="1:11" ht="15.75" customHeight="1">
      <c r="A2575" s="69"/>
      <c r="B2575" s="69"/>
      <c r="C2575" s="69"/>
      <c r="D2575" s="69"/>
      <c r="E2575" s="69"/>
      <c r="F2575" s="69"/>
      <c r="G2575" s="58"/>
      <c r="H2575" s="2"/>
      <c r="I2575" s="2"/>
      <c r="J2575" s="2"/>
      <c r="K2575" s="1"/>
    </row>
    <row r="2576" spans="1:11" ht="15.75" customHeight="1">
      <c r="A2576" s="69"/>
      <c r="B2576" s="69"/>
      <c r="C2576" s="69"/>
      <c r="D2576" s="69"/>
      <c r="E2576" s="69"/>
      <c r="F2576" s="69"/>
      <c r="G2576" s="58"/>
      <c r="H2576" s="2"/>
      <c r="I2576" s="2"/>
      <c r="J2576" s="2"/>
      <c r="K2576" s="1"/>
    </row>
    <row r="2577" spans="1:11" ht="15.75" customHeight="1">
      <c r="A2577" s="69"/>
      <c r="B2577" s="69"/>
      <c r="C2577" s="69"/>
      <c r="D2577" s="69"/>
      <c r="E2577" s="69"/>
      <c r="F2577" s="69"/>
      <c r="G2577" s="58"/>
      <c r="H2577" s="2"/>
      <c r="I2577" s="2"/>
      <c r="J2577" s="2"/>
      <c r="K2577" s="1"/>
    </row>
    <row r="2578" spans="1:11" ht="15.75" customHeight="1">
      <c r="A2578" s="69"/>
      <c r="B2578" s="69"/>
      <c r="C2578" s="69"/>
      <c r="D2578" s="69"/>
      <c r="E2578" s="69"/>
      <c r="F2578" s="69"/>
      <c r="G2578" s="58"/>
      <c r="H2578" s="2"/>
      <c r="I2578" s="2"/>
      <c r="J2578" s="2"/>
      <c r="K2578" s="1"/>
    </row>
    <row r="2579" spans="1:11" ht="15.75" customHeight="1">
      <c r="A2579" s="69"/>
      <c r="B2579" s="69"/>
      <c r="C2579" s="69"/>
      <c r="D2579" s="69"/>
      <c r="E2579" s="69"/>
      <c r="F2579" s="69"/>
      <c r="G2579" s="58"/>
      <c r="H2579" s="2"/>
      <c r="I2579" s="2"/>
      <c r="J2579" s="2"/>
      <c r="K2579" s="1"/>
    </row>
    <row r="2580" spans="1:11" ht="15.75" customHeight="1">
      <c r="A2580" s="69"/>
      <c r="B2580" s="69"/>
      <c r="C2580" s="69"/>
      <c r="D2580" s="69"/>
      <c r="E2580" s="69"/>
      <c r="F2580" s="69"/>
      <c r="G2580" s="58"/>
      <c r="H2580" s="2"/>
      <c r="I2580" s="2"/>
      <c r="J2580" s="2"/>
      <c r="K2580" s="1"/>
    </row>
    <row r="2581" spans="1:11" ht="15.75" customHeight="1">
      <c r="A2581" s="69"/>
      <c r="B2581" s="69"/>
      <c r="C2581" s="69"/>
      <c r="D2581" s="69"/>
      <c r="E2581" s="69"/>
      <c r="F2581" s="69"/>
      <c r="G2581" s="58"/>
      <c r="H2581" s="2"/>
      <c r="I2581" s="2"/>
      <c r="J2581" s="2"/>
      <c r="K2581" s="1"/>
    </row>
    <row r="2582" spans="1:11" ht="15.75" customHeight="1">
      <c r="A2582" s="69"/>
      <c r="B2582" s="69"/>
      <c r="C2582" s="69"/>
      <c r="D2582" s="69"/>
      <c r="E2582" s="69"/>
      <c r="F2582" s="69"/>
      <c r="G2582" s="58"/>
      <c r="H2582" s="2"/>
      <c r="I2582" s="2"/>
      <c r="J2582" s="2"/>
      <c r="K2582" s="1"/>
    </row>
    <row r="2583" spans="1:11" ht="15.75" customHeight="1">
      <c r="A2583" s="69"/>
      <c r="B2583" s="69"/>
      <c r="C2583" s="69"/>
      <c r="D2583" s="69"/>
      <c r="E2583" s="69"/>
      <c r="F2583" s="69"/>
      <c r="G2583" s="58"/>
      <c r="H2583" s="2"/>
      <c r="I2583" s="2"/>
      <c r="J2583" s="2"/>
      <c r="K2583" s="1"/>
    </row>
    <row r="2584" spans="1:11" ht="15.75" customHeight="1">
      <c r="A2584" s="69"/>
      <c r="B2584" s="69"/>
      <c r="C2584" s="69"/>
      <c r="D2584" s="69"/>
      <c r="E2584" s="69"/>
      <c r="F2584" s="69"/>
      <c r="G2584" s="58"/>
      <c r="H2584" s="2"/>
      <c r="I2584" s="2"/>
      <c r="J2584" s="2"/>
      <c r="K2584" s="1"/>
    </row>
    <row r="2585" spans="1:11" ht="15.75" customHeight="1">
      <c r="A2585" s="69"/>
      <c r="B2585" s="69"/>
      <c r="C2585" s="69"/>
      <c r="D2585" s="69"/>
      <c r="E2585" s="69"/>
      <c r="F2585" s="69"/>
      <c r="G2585" s="58"/>
      <c r="H2585" s="2"/>
      <c r="I2585" s="2"/>
      <c r="J2585" s="2"/>
      <c r="K2585" s="1"/>
    </row>
    <row r="2586" spans="1:11" ht="15.75" customHeight="1">
      <c r="A2586" s="69"/>
      <c r="B2586" s="69"/>
      <c r="C2586" s="69"/>
      <c r="D2586" s="69"/>
      <c r="E2586" s="69"/>
      <c r="F2586" s="69"/>
      <c r="G2586" s="58"/>
      <c r="H2586" s="2"/>
      <c r="I2586" s="2"/>
      <c r="J2586" s="2"/>
      <c r="K2586" s="1"/>
    </row>
    <row r="2587" spans="1:11" ht="15.75" customHeight="1">
      <c r="A2587" s="69"/>
      <c r="B2587" s="69"/>
      <c r="C2587" s="69"/>
      <c r="D2587" s="69"/>
      <c r="E2587" s="69"/>
      <c r="F2587" s="69"/>
      <c r="G2587" s="58"/>
      <c r="H2587" s="2"/>
      <c r="I2587" s="2"/>
      <c r="J2587" s="2"/>
      <c r="K2587" s="1"/>
    </row>
    <row r="2588" spans="1:11" ht="15.75" customHeight="1">
      <c r="A2588" s="69"/>
      <c r="B2588" s="69"/>
      <c r="C2588" s="69"/>
      <c r="D2588" s="69"/>
      <c r="E2588" s="69"/>
      <c r="F2588" s="69"/>
      <c r="G2588" s="58"/>
      <c r="H2588" s="2"/>
      <c r="I2588" s="2"/>
      <c r="J2588" s="2"/>
      <c r="K2588" s="1"/>
    </row>
    <row r="2589" spans="1:11" ht="15.75" customHeight="1">
      <c r="A2589" s="69"/>
      <c r="B2589" s="69"/>
      <c r="C2589" s="69"/>
      <c r="D2589" s="69"/>
      <c r="E2589" s="69"/>
      <c r="F2589" s="69"/>
      <c r="G2589" s="58"/>
      <c r="H2589" s="2"/>
      <c r="I2589" s="2"/>
      <c r="J2589" s="2"/>
      <c r="K2589" s="1"/>
    </row>
    <row r="2590" spans="1:11" ht="15.75" customHeight="1">
      <c r="A2590" s="69"/>
      <c r="B2590" s="69"/>
      <c r="C2590" s="69"/>
      <c r="D2590" s="69"/>
      <c r="E2590" s="69"/>
      <c r="F2590" s="69"/>
      <c r="G2590" s="58"/>
      <c r="H2590" s="2"/>
      <c r="I2590" s="2"/>
      <c r="J2590" s="2"/>
      <c r="K2590" s="1"/>
    </row>
    <row r="2591" spans="1:11" ht="15.75" customHeight="1">
      <c r="A2591" s="69"/>
      <c r="B2591" s="69"/>
      <c r="C2591" s="69"/>
      <c r="D2591" s="69"/>
      <c r="E2591" s="69"/>
      <c r="F2591" s="69"/>
      <c r="G2591" s="58"/>
      <c r="H2591" s="2"/>
      <c r="I2591" s="2"/>
      <c r="J2591" s="2"/>
      <c r="K2591" s="1"/>
    </row>
    <row r="2592" spans="1:11" ht="15.75" customHeight="1">
      <c r="A2592" s="69"/>
      <c r="B2592" s="69"/>
      <c r="C2592" s="69"/>
      <c r="D2592" s="69"/>
      <c r="E2592" s="69"/>
      <c r="F2592" s="69"/>
      <c r="G2592" s="58"/>
      <c r="H2592" s="2"/>
      <c r="I2592" s="2"/>
      <c r="J2592" s="2"/>
      <c r="K2592" s="1"/>
    </row>
    <row r="2593" spans="1:11" ht="15.75" customHeight="1">
      <c r="A2593" s="69"/>
      <c r="B2593" s="69"/>
      <c r="C2593" s="69"/>
      <c r="D2593" s="69"/>
      <c r="E2593" s="69"/>
      <c r="F2593" s="69"/>
      <c r="G2593" s="58"/>
      <c r="H2593" s="2"/>
      <c r="I2593" s="2"/>
      <c r="J2593" s="2"/>
      <c r="K2593" s="1"/>
    </row>
    <row r="2594" spans="1:11" ht="15.75" customHeight="1">
      <c r="A2594" s="69"/>
      <c r="B2594" s="69"/>
      <c r="C2594" s="69"/>
      <c r="D2594" s="69"/>
      <c r="E2594" s="69"/>
      <c r="F2594" s="69"/>
      <c r="G2594" s="58"/>
      <c r="H2594" s="2"/>
      <c r="I2594" s="2"/>
      <c r="J2594" s="2"/>
      <c r="K2594" s="1"/>
    </row>
    <row r="2595" spans="1:11" ht="15.75" customHeight="1">
      <c r="A2595" s="69"/>
      <c r="B2595" s="69"/>
      <c r="C2595" s="69"/>
      <c r="D2595" s="69"/>
      <c r="E2595" s="69"/>
      <c r="F2595" s="69"/>
      <c r="G2595" s="58"/>
      <c r="H2595" s="2"/>
      <c r="I2595" s="2"/>
      <c r="J2595" s="2"/>
      <c r="K2595" s="1"/>
    </row>
    <row r="2596" spans="1:11" ht="15.75" customHeight="1">
      <c r="A2596" s="69"/>
      <c r="B2596" s="69"/>
      <c r="C2596" s="69"/>
      <c r="D2596" s="69"/>
      <c r="E2596" s="69"/>
      <c r="F2596" s="69"/>
      <c r="G2596" s="58"/>
      <c r="H2596" s="2"/>
      <c r="I2596" s="2"/>
      <c r="J2596" s="2"/>
      <c r="K2596" s="1"/>
    </row>
    <row r="2597" spans="1:11" ht="15.75" customHeight="1">
      <c r="A2597" s="69"/>
      <c r="B2597" s="69"/>
      <c r="C2597" s="69"/>
      <c r="D2597" s="69"/>
      <c r="E2597" s="69"/>
      <c r="F2597" s="69"/>
      <c r="G2597" s="58"/>
      <c r="H2597" s="2"/>
      <c r="I2597" s="2"/>
      <c r="J2597" s="2"/>
      <c r="K2597" s="1"/>
    </row>
    <row r="2598" spans="1:11" ht="15.75" customHeight="1">
      <c r="A2598" s="69"/>
      <c r="B2598" s="69"/>
      <c r="C2598" s="69"/>
      <c r="D2598" s="69"/>
      <c r="E2598" s="69"/>
      <c r="F2598" s="69"/>
      <c r="G2598" s="58"/>
      <c r="H2598" s="2"/>
      <c r="I2598" s="2"/>
      <c r="J2598" s="2"/>
      <c r="K2598" s="1"/>
    </row>
    <row r="2599" spans="1:11" ht="15.75" customHeight="1">
      <c r="A2599" s="69"/>
      <c r="B2599" s="69"/>
      <c r="C2599" s="69"/>
      <c r="D2599" s="69"/>
      <c r="E2599" s="69"/>
      <c r="F2599" s="69"/>
      <c r="G2599" s="58"/>
      <c r="H2599" s="2"/>
      <c r="I2599" s="2"/>
      <c r="J2599" s="2"/>
      <c r="K2599" s="1"/>
    </row>
    <row r="2600" spans="1:11" ht="15.75" customHeight="1">
      <c r="A2600" s="69"/>
      <c r="B2600" s="69"/>
      <c r="C2600" s="69"/>
      <c r="D2600" s="69"/>
      <c r="E2600" s="69"/>
      <c r="F2600" s="69"/>
      <c r="G2600" s="58"/>
      <c r="H2600" s="2"/>
      <c r="I2600" s="2"/>
      <c r="J2600" s="2"/>
      <c r="K2600" s="1"/>
    </row>
    <row r="2601" spans="1:11" ht="15.75" customHeight="1">
      <c r="A2601" s="69"/>
      <c r="B2601" s="69"/>
      <c r="C2601" s="69"/>
      <c r="D2601" s="69"/>
      <c r="E2601" s="69"/>
      <c r="F2601" s="69"/>
      <c r="G2601" s="58"/>
      <c r="H2601" s="2"/>
      <c r="I2601" s="2"/>
      <c r="J2601" s="2"/>
      <c r="K2601" s="1"/>
    </row>
    <row r="2602" spans="1:11" ht="15.75" customHeight="1">
      <c r="A2602" s="69"/>
      <c r="B2602" s="69"/>
      <c r="C2602" s="69"/>
      <c r="D2602" s="69"/>
      <c r="E2602" s="69"/>
      <c r="F2602" s="69"/>
      <c r="G2602" s="58"/>
      <c r="H2602" s="2"/>
      <c r="I2602" s="2"/>
      <c r="J2602" s="2"/>
      <c r="K2602" s="1"/>
    </row>
    <row r="2603" spans="1:11" ht="15.75" customHeight="1">
      <c r="A2603" s="69"/>
      <c r="B2603" s="69"/>
      <c r="C2603" s="69"/>
      <c r="D2603" s="69"/>
      <c r="E2603" s="69"/>
      <c r="F2603" s="69"/>
      <c r="G2603" s="58"/>
      <c r="H2603" s="2"/>
      <c r="I2603" s="2"/>
      <c r="J2603" s="2"/>
      <c r="K2603" s="1"/>
    </row>
    <row r="2604" spans="1:11" ht="15.75" customHeight="1">
      <c r="A2604" s="69"/>
      <c r="B2604" s="69"/>
      <c r="C2604" s="69"/>
      <c r="D2604" s="69"/>
      <c r="E2604" s="69"/>
      <c r="F2604" s="69"/>
      <c r="G2604" s="58"/>
      <c r="H2604" s="2"/>
      <c r="I2604" s="2"/>
      <c r="J2604" s="2"/>
      <c r="K2604" s="1"/>
    </row>
    <row r="2605" spans="1:11" ht="15.75" customHeight="1">
      <c r="A2605" s="69"/>
      <c r="B2605" s="69"/>
      <c r="C2605" s="69"/>
      <c r="D2605" s="69"/>
      <c r="E2605" s="69"/>
      <c r="F2605" s="69"/>
      <c r="G2605" s="58"/>
      <c r="H2605" s="2"/>
      <c r="I2605" s="2"/>
      <c r="J2605" s="2"/>
      <c r="K2605" s="1"/>
    </row>
    <row r="2606" spans="1:11" ht="15.75" customHeight="1">
      <c r="A2606" s="69"/>
      <c r="B2606" s="69"/>
      <c r="C2606" s="69"/>
      <c r="D2606" s="69"/>
      <c r="E2606" s="69"/>
      <c r="F2606" s="69"/>
      <c r="G2606" s="58"/>
      <c r="H2606" s="2"/>
      <c r="I2606" s="2"/>
      <c r="J2606" s="2"/>
      <c r="K2606" s="1"/>
    </row>
    <row r="2607" spans="1:11" ht="15.75" customHeight="1">
      <c r="A2607" s="69"/>
      <c r="B2607" s="69"/>
      <c r="C2607" s="69"/>
      <c r="D2607" s="69"/>
      <c r="E2607" s="69"/>
      <c r="F2607" s="69"/>
      <c r="G2607" s="58"/>
      <c r="H2607" s="2"/>
      <c r="I2607" s="2"/>
      <c r="J2607" s="2"/>
      <c r="K2607" s="1"/>
    </row>
    <row r="2608" spans="1:11" ht="15.75" customHeight="1">
      <c r="A2608" s="69"/>
      <c r="B2608" s="69"/>
      <c r="C2608" s="69"/>
      <c r="D2608" s="69"/>
      <c r="E2608" s="69"/>
      <c r="F2608" s="69"/>
      <c r="G2608" s="58"/>
      <c r="H2608" s="2"/>
      <c r="I2608" s="2"/>
      <c r="J2608" s="2"/>
      <c r="K2608" s="1"/>
    </row>
    <row r="2609" spans="1:11" ht="15.75" customHeight="1">
      <c r="A2609" s="69"/>
      <c r="B2609" s="69"/>
      <c r="C2609" s="69"/>
      <c r="D2609" s="69"/>
      <c r="E2609" s="69"/>
      <c r="F2609" s="69"/>
      <c r="G2609" s="58"/>
      <c r="H2609" s="2"/>
      <c r="I2609" s="2"/>
      <c r="J2609" s="2"/>
      <c r="K2609" s="1"/>
    </row>
    <row r="2610" spans="1:11" ht="15.75" customHeight="1">
      <c r="A2610" s="69"/>
      <c r="B2610" s="69"/>
      <c r="C2610" s="69"/>
      <c r="D2610" s="69"/>
      <c r="E2610" s="69"/>
      <c r="F2610" s="69"/>
      <c r="G2610" s="58"/>
      <c r="H2610" s="2"/>
      <c r="I2610" s="2"/>
      <c r="J2610" s="2"/>
      <c r="K2610" s="1"/>
    </row>
    <row r="2611" spans="1:11" ht="15.75" customHeight="1">
      <c r="A2611" s="69"/>
      <c r="B2611" s="69"/>
      <c r="C2611" s="69"/>
      <c r="D2611" s="69"/>
      <c r="E2611" s="69"/>
      <c r="F2611" s="69"/>
      <c r="G2611" s="58"/>
      <c r="H2611" s="2"/>
      <c r="I2611" s="2"/>
      <c r="J2611" s="2"/>
      <c r="K2611" s="1"/>
    </row>
    <row r="2612" spans="1:11" ht="15.75" customHeight="1">
      <c r="A2612" s="69"/>
      <c r="B2612" s="69"/>
      <c r="C2612" s="69"/>
      <c r="D2612" s="69"/>
      <c r="E2612" s="69"/>
      <c r="F2612" s="69"/>
      <c r="G2612" s="58"/>
      <c r="H2612" s="2"/>
      <c r="I2612" s="2"/>
      <c r="J2612" s="2"/>
      <c r="K2612" s="1"/>
    </row>
    <row r="2613" spans="1:11" ht="15.75" customHeight="1">
      <c r="A2613" s="69"/>
      <c r="B2613" s="69"/>
      <c r="C2613" s="69"/>
      <c r="D2613" s="69"/>
      <c r="E2613" s="69"/>
      <c r="F2613" s="69"/>
      <c r="G2613" s="58"/>
      <c r="H2613" s="2"/>
      <c r="I2613" s="2"/>
      <c r="J2613" s="2"/>
      <c r="K2613" s="1"/>
    </row>
    <row r="2614" spans="1:11" ht="15.75" customHeight="1">
      <c r="A2614" s="69"/>
      <c r="B2614" s="69"/>
      <c r="C2614" s="69"/>
      <c r="D2614" s="69"/>
      <c r="E2614" s="69"/>
      <c r="F2614" s="69"/>
      <c r="G2614" s="58"/>
      <c r="H2614" s="2"/>
      <c r="I2614" s="2"/>
      <c r="J2614" s="2"/>
      <c r="K2614" s="1"/>
    </row>
    <row r="2615" spans="1:11" ht="15.75" customHeight="1">
      <c r="A2615" s="69"/>
      <c r="B2615" s="69"/>
      <c r="C2615" s="69"/>
      <c r="D2615" s="69"/>
      <c r="E2615" s="69"/>
      <c r="F2615" s="69"/>
      <c r="G2615" s="58"/>
      <c r="H2615" s="2"/>
      <c r="I2615" s="2"/>
      <c r="J2615" s="2"/>
      <c r="K2615" s="1"/>
    </row>
    <row r="2616" spans="1:11" ht="15.75" customHeight="1">
      <c r="A2616" s="69"/>
      <c r="B2616" s="69"/>
      <c r="C2616" s="69"/>
      <c r="D2616" s="69"/>
      <c r="E2616" s="69"/>
      <c r="F2616" s="69"/>
      <c r="G2616" s="58"/>
      <c r="H2616" s="2"/>
      <c r="I2616" s="2"/>
      <c r="J2616" s="2"/>
      <c r="K2616" s="1"/>
    </row>
    <row r="2617" spans="1:11" ht="15.75" customHeight="1">
      <c r="A2617" s="69"/>
      <c r="B2617" s="69"/>
      <c r="C2617" s="69"/>
      <c r="D2617" s="69"/>
      <c r="E2617" s="69"/>
      <c r="F2617" s="69"/>
      <c r="G2617" s="58"/>
      <c r="H2617" s="2"/>
      <c r="I2617" s="2"/>
      <c r="J2617" s="2"/>
      <c r="K2617" s="1"/>
    </row>
    <row r="2618" spans="1:11" ht="15.75" customHeight="1">
      <c r="A2618" s="69"/>
      <c r="B2618" s="69"/>
      <c r="C2618" s="69"/>
      <c r="D2618" s="69"/>
      <c r="E2618" s="69"/>
      <c r="F2618" s="69"/>
      <c r="G2618" s="58"/>
      <c r="H2618" s="2"/>
      <c r="I2618" s="2"/>
      <c r="J2618" s="2"/>
      <c r="K2618" s="1"/>
    </row>
    <row r="2619" spans="1:11" ht="15.75" customHeight="1">
      <c r="A2619" s="69"/>
      <c r="B2619" s="69"/>
      <c r="C2619" s="69"/>
      <c r="D2619" s="69"/>
      <c r="E2619" s="69"/>
      <c r="F2619" s="69"/>
      <c r="G2619" s="58"/>
      <c r="H2619" s="2"/>
      <c r="I2619" s="2"/>
      <c r="J2619" s="2"/>
      <c r="K2619" s="1"/>
    </row>
    <row r="2620" spans="1:11" ht="15.75" customHeight="1">
      <c r="A2620" s="69"/>
      <c r="B2620" s="69"/>
      <c r="C2620" s="69"/>
      <c r="D2620" s="69"/>
      <c r="E2620" s="69"/>
      <c r="F2620" s="69"/>
      <c r="G2620" s="58"/>
      <c r="H2620" s="2"/>
      <c r="I2620" s="2"/>
      <c r="J2620" s="2"/>
      <c r="K2620" s="1"/>
    </row>
    <row r="2621" spans="1:11" ht="15.75" customHeight="1">
      <c r="A2621" s="69"/>
      <c r="B2621" s="69"/>
      <c r="C2621" s="69"/>
      <c r="D2621" s="69"/>
      <c r="E2621" s="69"/>
      <c r="F2621" s="69"/>
      <c r="G2621" s="58"/>
      <c r="H2621" s="2"/>
      <c r="I2621" s="2"/>
      <c r="J2621" s="2"/>
      <c r="K2621" s="1"/>
    </row>
    <row r="2622" spans="1:11" ht="15.75" customHeight="1">
      <c r="A2622" s="69"/>
      <c r="B2622" s="69"/>
      <c r="C2622" s="69"/>
      <c r="D2622" s="69"/>
      <c r="E2622" s="69"/>
      <c r="F2622" s="69"/>
      <c r="G2622" s="58"/>
      <c r="H2622" s="2"/>
      <c r="I2622" s="2"/>
      <c r="J2622" s="2"/>
      <c r="K2622" s="1"/>
    </row>
    <row r="2623" spans="1:11" ht="15.75" customHeight="1">
      <c r="A2623" s="69"/>
      <c r="B2623" s="69"/>
      <c r="C2623" s="69"/>
      <c r="D2623" s="69"/>
      <c r="E2623" s="69"/>
      <c r="F2623" s="69"/>
      <c r="G2623" s="58"/>
      <c r="H2623" s="2"/>
      <c r="I2623" s="2"/>
      <c r="J2623" s="2"/>
      <c r="K2623" s="1"/>
    </row>
    <row r="2624" spans="1:11" ht="15.75" customHeight="1">
      <c r="A2624" s="69"/>
      <c r="B2624" s="69"/>
      <c r="C2624" s="69"/>
      <c r="D2624" s="69"/>
      <c r="E2624" s="69"/>
      <c r="F2624" s="69"/>
      <c r="G2624" s="58"/>
      <c r="H2624" s="2"/>
      <c r="I2624" s="2"/>
      <c r="J2624" s="2"/>
      <c r="K2624" s="1"/>
    </row>
    <row r="2625" spans="1:11" ht="15.75" customHeight="1">
      <c r="A2625" s="69"/>
      <c r="B2625" s="69"/>
      <c r="C2625" s="69"/>
      <c r="D2625" s="69"/>
      <c r="E2625" s="69"/>
      <c r="F2625" s="69"/>
      <c r="G2625" s="58"/>
      <c r="H2625" s="2"/>
      <c r="I2625" s="2"/>
      <c r="J2625" s="2"/>
      <c r="K2625" s="1"/>
    </row>
    <row r="2626" spans="1:11" ht="15.75" customHeight="1">
      <c r="A2626" s="69"/>
      <c r="B2626" s="69"/>
      <c r="C2626" s="69"/>
      <c r="D2626" s="69"/>
      <c r="E2626" s="69"/>
      <c r="F2626" s="69"/>
      <c r="G2626" s="58"/>
      <c r="H2626" s="2"/>
      <c r="I2626" s="2"/>
      <c r="J2626" s="2"/>
      <c r="K2626" s="1"/>
    </row>
    <row r="2627" spans="1:11" ht="15.75" customHeight="1">
      <c r="A2627" s="69"/>
      <c r="B2627" s="69"/>
      <c r="C2627" s="69"/>
      <c r="D2627" s="69"/>
      <c r="E2627" s="69"/>
      <c r="F2627" s="69"/>
      <c r="G2627" s="58"/>
      <c r="H2627" s="2"/>
      <c r="I2627" s="2"/>
      <c r="J2627" s="2"/>
      <c r="K2627" s="1"/>
    </row>
    <row r="2628" spans="1:11" ht="15.75" customHeight="1">
      <c r="A2628" s="69"/>
      <c r="B2628" s="69"/>
      <c r="C2628" s="69"/>
      <c r="D2628" s="69"/>
      <c r="E2628" s="69"/>
      <c r="F2628" s="69"/>
      <c r="G2628" s="58"/>
      <c r="H2628" s="2"/>
      <c r="I2628" s="2"/>
      <c r="J2628" s="2"/>
      <c r="K2628" s="1"/>
    </row>
    <row r="2629" spans="1:11" ht="15.75" customHeight="1">
      <c r="A2629" s="69"/>
      <c r="B2629" s="69"/>
      <c r="C2629" s="69"/>
      <c r="D2629" s="69"/>
      <c r="E2629" s="69"/>
      <c r="F2629" s="69"/>
      <c r="G2629" s="58"/>
      <c r="H2629" s="2"/>
      <c r="I2629" s="2"/>
      <c r="J2629" s="2"/>
      <c r="K2629" s="1"/>
    </row>
    <row r="2630" spans="1:11" ht="15.75" customHeight="1">
      <c r="A2630" s="69"/>
      <c r="B2630" s="69"/>
      <c r="C2630" s="69"/>
      <c r="D2630" s="69"/>
      <c r="E2630" s="69"/>
      <c r="F2630" s="69"/>
      <c r="G2630" s="58"/>
      <c r="H2630" s="2"/>
      <c r="I2630" s="2"/>
      <c r="J2630" s="2"/>
      <c r="K2630" s="1"/>
    </row>
    <row r="2631" spans="1:11" ht="15.75" customHeight="1">
      <c r="A2631" s="69"/>
      <c r="B2631" s="69"/>
      <c r="C2631" s="69"/>
      <c r="D2631" s="69"/>
      <c r="E2631" s="69"/>
      <c r="F2631" s="69"/>
      <c r="G2631" s="58"/>
      <c r="H2631" s="2"/>
      <c r="I2631" s="2"/>
      <c r="J2631" s="2"/>
      <c r="K2631" s="1"/>
    </row>
    <row r="2632" spans="1:11" ht="15.75" customHeight="1">
      <c r="A2632" s="69"/>
      <c r="B2632" s="69"/>
      <c r="C2632" s="69"/>
      <c r="D2632" s="69"/>
      <c r="E2632" s="69"/>
      <c r="F2632" s="69"/>
      <c r="G2632" s="58"/>
      <c r="H2632" s="2"/>
      <c r="I2632" s="2"/>
      <c r="J2632" s="2"/>
      <c r="K2632" s="1"/>
    </row>
    <row r="2633" spans="1:11" ht="15.75" customHeight="1">
      <c r="A2633" s="69"/>
      <c r="B2633" s="69"/>
      <c r="C2633" s="69"/>
      <c r="D2633" s="69"/>
      <c r="E2633" s="69"/>
      <c r="F2633" s="69"/>
      <c r="G2633" s="58"/>
      <c r="H2633" s="2"/>
      <c r="I2633" s="2"/>
      <c r="J2633" s="2"/>
      <c r="K2633" s="1"/>
    </row>
    <row r="2634" spans="1:11" ht="15.75" customHeight="1">
      <c r="A2634" s="69"/>
      <c r="B2634" s="69"/>
      <c r="C2634" s="69"/>
      <c r="D2634" s="69"/>
      <c r="E2634" s="69"/>
      <c r="F2634" s="69"/>
      <c r="G2634" s="58"/>
      <c r="H2634" s="2"/>
      <c r="I2634" s="2"/>
      <c r="J2634" s="2"/>
      <c r="K2634" s="1"/>
    </row>
  </sheetData>
  <sheetProtection algorithmName="SHA-512" hashValue="3a6/YgJGOsg9+sCJGla+AeGOyLauXNC5EaVPkxgKSCBUoyCKaAnK0ffzodY5fPZ9SZ6z4FafLL1UFno49PKAuQ==" saltValue="WY+0eWpYNpemuNDwHOu3ug==" spinCount="100000" sheet="1" objects="1" scenarios="1"/>
  <mergeCells count="3">
    <mergeCell ref="A3:J3"/>
    <mergeCell ref="A4:J4"/>
    <mergeCell ref="A5:J5"/>
  </mergeCells>
  <pageMargins left="0.7" right="0.7" top="0.75" bottom="0.75" header="0" footer="0"/>
  <pageSetup orientation="landscape"/>
  <drawing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1001"/>
  <sheetViews>
    <sheetView topLeftCell="A303" workbookViewId="0">
      <selection activeCell="D248" sqref="D248"/>
    </sheetView>
  </sheetViews>
  <sheetFormatPr defaultColWidth="14.42578125" defaultRowHeight="15" customHeight="1"/>
  <cols>
    <col min="1" max="1" width="20" customWidth="1"/>
    <col min="2" max="2" width="16" customWidth="1"/>
    <col min="3" max="3" width="25.28515625" customWidth="1"/>
    <col min="4" max="4" width="24.85546875" customWidth="1"/>
    <col min="7" max="7" width="17.28515625" customWidth="1"/>
    <col min="8" max="8" width="93.7109375" customWidth="1"/>
  </cols>
  <sheetData>
    <row r="1" spans="1:29">
      <c r="A1" s="229" t="s">
        <v>0</v>
      </c>
      <c r="B1" s="227"/>
      <c r="C1" s="227"/>
      <c r="D1" s="227"/>
      <c r="E1" s="227"/>
      <c r="F1" s="227"/>
      <c r="G1" s="227"/>
      <c r="H1" s="227"/>
    </row>
    <row r="2" spans="1:29">
      <c r="A2" s="229" t="s">
        <v>1</v>
      </c>
      <c r="B2" s="227"/>
      <c r="C2" s="227"/>
      <c r="D2" s="227"/>
      <c r="E2" s="227"/>
      <c r="F2" s="227"/>
      <c r="G2" s="227"/>
      <c r="H2" s="227"/>
    </row>
    <row r="3" spans="1:29" ht="18.75">
      <c r="A3" s="229"/>
      <c r="B3" s="227"/>
      <c r="C3" s="227"/>
      <c r="D3" s="227"/>
      <c r="E3" s="227"/>
      <c r="F3" s="227"/>
      <c r="G3" s="227"/>
      <c r="H3" s="80"/>
    </row>
    <row r="4" spans="1:29">
      <c r="A4" s="230" t="s">
        <v>350</v>
      </c>
      <c r="B4" s="227"/>
      <c r="C4" s="227"/>
      <c r="D4" s="227"/>
      <c r="E4" s="227"/>
      <c r="F4" s="227"/>
      <c r="G4" s="227"/>
      <c r="H4" s="227"/>
    </row>
    <row r="5" spans="1:29" ht="15.75">
      <c r="A5" s="81"/>
      <c r="B5" s="82"/>
      <c r="C5" s="81"/>
      <c r="D5" s="83"/>
      <c r="E5" s="17"/>
      <c r="F5" s="81"/>
      <c r="G5" s="84"/>
      <c r="H5" s="83"/>
    </row>
    <row r="6" spans="1:29" ht="47.25">
      <c r="A6" s="85" t="s">
        <v>6</v>
      </c>
      <c r="B6" s="86"/>
      <c r="C6" s="85" t="s">
        <v>7</v>
      </c>
      <c r="D6" s="85" t="s">
        <v>8</v>
      </c>
      <c r="E6" s="87" t="s">
        <v>9</v>
      </c>
      <c r="F6" s="88" t="s">
        <v>10</v>
      </c>
      <c r="G6" s="89" t="s">
        <v>11</v>
      </c>
      <c r="H6" s="90" t="s">
        <v>12</v>
      </c>
    </row>
    <row r="7" spans="1:29" ht="15.75">
      <c r="A7" s="91" t="s">
        <v>351</v>
      </c>
      <c r="B7" s="92"/>
      <c r="C7" s="91"/>
      <c r="D7" s="91"/>
      <c r="E7" s="93"/>
      <c r="F7" s="94"/>
      <c r="G7" s="95"/>
      <c r="H7" s="96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5.75">
      <c r="A8" s="8" t="s">
        <v>292</v>
      </c>
      <c r="B8" s="97"/>
      <c r="C8" s="8" t="s">
        <v>352</v>
      </c>
      <c r="D8" s="8" t="s">
        <v>353</v>
      </c>
      <c r="E8" s="98" t="s">
        <v>62</v>
      </c>
      <c r="F8" s="99">
        <v>3.5</v>
      </c>
      <c r="G8" s="100">
        <v>28</v>
      </c>
      <c r="H8" s="8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29" ht="15.75">
      <c r="A9" s="8" t="s">
        <v>292</v>
      </c>
      <c r="B9" s="97"/>
      <c r="C9" s="8" t="s">
        <v>352</v>
      </c>
      <c r="D9" s="8" t="s">
        <v>354</v>
      </c>
      <c r="E9" s="98" t="s">
        <v>355</v>
      </c>
      <c r="F9" s="99">
        <v>173</v>
      </c>
      <c r="G9" s="100">
        <v>121.1</v>
      </c>
      <c r="H9" s="8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29" ht="15.75">
      <c r="A10" s="8" t="s">
        <v>292</v>
      </c>
      <c r="B10" s="97"/>
      <c r="C10" s="8" t="s">
        <v>352</v>
      </c>
      <c r="D10" s="8" t="s">
        <v>356</v>
      </c>
      <c r="E10" s="98" t="s">
        <v>302</v>
      </c>
      <c r="F10" s="99">
        <v>17</v>
      </c>
      <c r="G10" s="100">
        <v>21.25</v>
      </c>
      <c r="H10" s="8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15.75">
      <c r="A11" s="8" t="s">
        <v>297</v>
      </c>
      <c r="B11" s="97"/>
      <c r="C11" s="8" t="s">
        <v>352</v>
      </c>
      <c r="D11" s="8" t="s">
        <v>357</v>
      </c>
      <c r="E11" s="98" t="s">
        <v>85</v>
      </c>
      <c r="F11" s="99">
        <v>31</v>
      </c>
      <c r="G11" s="100">
        <v>38.75</v>
      </c>
      <c r="H11" s="8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29" ht="15.75">
      <c r="A12" s="8" t="s">
        <v>297</v>
      </c>
      <c r="B12" s="97"/>
      <c r="C12" s="8" t="s">
        <v>352</v>
      </c>
      <c r="D12" s="8" t="s">
        <v>353</v>
      </c>
      <c r="E12" s="98" t="s">
        <v>62</v>
      </c>
      <c r="F12" s="99">
        <v>5.5</v>
      </c>
      <c r="G12" s="100">
        <v>46.75</v>
      </c>
      <c r="H12" s="8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ht="15.75">
      <c r="A13" s="8" t="s">
        <v>297</v>
      </c>
      <c r="B13" s="97"/>
      <c r="C13" s="8" t="s">
        <v>352</v>
      </c>
      <c r="D13" s="8" t="s">
        <v>358</v>
      </c>
      <c r="E13" s="98" t="s">
        <v>32</v>
      </c>
      <c r="F13" s="99">
        <v>53</v>
      </c>
      <c r="G13" s="100">
        <v>79.5</v>
      </c>
      <c r="H13" s="8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29" ht="15.75">
      <c r="A14" s="8" t="s">
        <v>297</v>
      </c>
      <c r="B14" s="97"/>
      <c r="C14" s="8" t="s">
        <v>352</v>
      </c>
      <c r="D14" s="8" t="s">
        <v>354</v>
      </c>
      <c r="E14" s="98" t="s">
        <v>355</v>
      </c>
      <c r="F14" s="99">
        <v>407</v>
      </c>
      <c r="G14" s="100">
        <v>284.89999999999998</v>
      </c>
      <c r="H14" s="8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29" ht="15.75">
      <c r="A15" s="8" t="s">
        <v>297</v>
      </c>
      <c r="B15" s="97"/>
      <c r="C15" s="8" t="s">
        <v>352</v>
      </c>
      <c r="D15" s="8" t="s">
        <v>359</v>
      </c>
      <c r="E15" s="98" t="s">
        <v>202</v>
      </c>
      <c r="F15" s="99">
        <v>32</v>
      </c>
      <c r="G15" s="100">
        <v>25.6</v>
      </c>
      <c r="H15" s="8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ht="15.75">
      <c r="A16" s="8" t="s">
        <v>297</v>
      </c>
      <c r="B16" s="97"/>
      <c r="C16" s="8" t="s">
        <v>352</v>
      </c>
      <c r="D16" s="8" t="s">
        <v>360</v>
      </c>
      <c r="E16" s="98" t="s">
        <v>202</v>
      </c>
      <c r="F16" s="99">
        <v>10</v>
      </c>
      <c r="G16" s="100">
        <v>6</v>
      </c>
      <c r="H16" s="8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ht="15.75">
      <c r="A17" s="8" t="s">
        <v>297</v>
      </c>
      <c r="B17" s="97"/>
      <c r="C17" s="8" t="s">
        <v>352</v>
      </c>
      <c r="D17" s="8" t="s">
        <v>361</v>
      </c>
      <c r="E17" s="98" t="s">
        <v>202</v>
      </c>
      <c r="F17" s="99">
        <v>34</v>
      </c>
      <c r="G17" s="100">
        <v>34</v>
      </c>
      <c r="H17" s="8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ht="15.75">
      <c r="A18" s="8" t="s">
        <v>297</v>
      </c>
      <c r="B18" s="97"/>
      <c r="C18" s="8" t="s">
        <v>352</v>
      </c>
      <c r="D18" s="8" t="s">
        <v>301</v>
      </c>
      <c r="E18" s="98" t="s">
        <v>302</v>
      </c>
      <c r="F18" s="99">
        <v>11</v>
      </c>
      <c r="G18" s="100">
        <v>8</v>
      </c>
      <c r="H18" s="8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ht="15.75">
      <c r="A19" s="8" t="s">
        <v>303</v>
      </c>
      <c r="B19" s="97"/>
      <c r="C19" s="8" t="s">
        <v>352</v>
      </c>
      <c r="D19" s="8" t="s">
        <v>354</v>
      </c>
      <c r="E19" s="98" t="s">
        <v>355</v>
      </c>
      <c r="F19" s="99" t="s">
        <v>362</v>
      </c>
      <c r="G19" s="100" t="s">
        <v>362</v>
      </c>
      <c r="H19" s="8" t="s">
        <v>363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15.75">
      <c r="A20" s="8" t="s">
        <v>303</v>
      </c>
      <c r="B20" s="97"/>
      <c r="C20" s="8" t="s">
        <v>352</v>
      </c>
      <c r="D20" s="8" t="s">
        <v>359</v>
      </c>
      <c r="E20" s="98" t="s">
        <v>202</v>
      </c>
      <c r="F20" s="99" t="s">
        <v>362</v>
      </c>
      <c r="G20" s="100" t="s">
        <v>362</v>
      </c>
      <c r="H20" s="8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15.75">
      <c r="A21" s="8" t="s">
        <v>303</v>
      </c>
      <c r="B21" s="97"/>
      <c r="C21" s="8" t="s">
        <v>352</v>
      </c>
      <c r="D21" s="8" t="s">
        <v>361</v>
      </c>
      <c r="E21" s="98" t="s">
        <v>202</v>
      </c>
      <c r="F21" s="99">
        <v>20</v>
      </c>
      <c r="G21" s="100">
        <v>25</v>
      </c>
      <c r="H21" s="8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15.75">
      <c r="A22" s="8" t="s">
        <v>304</v>
      </c>
      <c r="B22" s="97"/>
      <c r="C22" s="8" t="s">
        <v>352</v>
      </c>
      <c r="D22" s="8" t="s">
        <v>357</v>
      </c>
      <c r="E22" s="98" t="s">
        <v>85</v>
      </c>
      <c r="F22" s="99">
        <v>45</v>
      </c>
      <c r="G22" s="100">
        <v>45</v>
      </c>
      <c r="H22" s="101" t="s">
        <v>364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15.75">
      <c r="A23" s="8" t="s">
        <v>304</v>
      </c>
      <c r="B23" s="97"/>
      <c r="C23" s="8" t="s">
        <v>352</v>
      </c>
      <c r="D23" s="8" t="s">
        <v>354</v>
      </c>
      <c r="E23" s="98" t="s">
        <v>355</v>
      </c>
      <c r="F23" s="99">
        <v>869</v>
      </c>
      <c r="G23" s="100">
        <v>608.29999999999995</v>
      </c>
      <c r="H23" s="8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15.75">
      <c r="A24" s="8" t="s">
        <v>304</v>
      </c>
      <c r="B24" s="97"/>
      <c r="C24" s="8" t="s">
        <v>352</v>
      </c>
      <c r="D24" s="8" t="s">
        <v>360</v>
      </c>
      <c r="E24" s="98" t="s">
        <v>202</v>
      </c>
      <c r="F24" s="99">
        <v>91</v>
      </c>
      <c r="G24" s="100">
        <v>63.7</v>
      </c>
      <c r="H24" s="8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15.75">
      <c r="A25" s="8" t="s">
        <v>304</v>
      </c>
      <c r="B25" s="97"/>
      <c r="C25" s="8" t="s">
        <v>352</v>
      </c>
      <c r="D25" s="8" t="s">
        <v>359</v>
      </c>
      <c r="E25" s="98" t="s">
        <v>202</v>
      </c>
      <c r="F25" s="99">
        <v>282</v>
      </c>
      <c r="G25" s="100">
        <v>225.6</v>
      </c>
      <c r="H25" s="8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15.75">
      <c r="A26" s="8" t="s">
        <v>304</v>
      </c>
      <c r="B26" s="97"/>
      <c r="C26" s="8" t="s">
        <v>352</v>
      </c>
      <c r="D26" s="8" t="s">
        <v>361</v>
      </c>
      <c r="E26" s="98" t="s">
        <v>202</v>
      </c>
      <c r="F26" s="99">
        <v>15</v>
      </c>
      <c r="G26" s="100">
        <v>15</v>
      </c>
      <c r="H26" s="8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ht="15.75">
      <c r="A27" s="8" t="s">
        <v>304</v>
      </c>
      <c r="B27" s="97"/>
      <c r="C27" s="8" t="s">
        <v>352</v>
      </c>
      <c r="D27" s="8" t="s">
        <v>365</v>
      </c>
      <c r="E27" s="98" t="s">
        <v>138</v>
      </c>
      <c r="F27" s="99">
        <v>33</v>
      </c>
      <c r="G27" s="100">
        <v>49.5</v>
      </c>
      <c r="H27" s="8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ht="15.75">
      <c r="A28" s="8" t="s">
        <v>305</v>
      </c>
      <c r="B28" s="97"/>
      <c r="C28" s="8" t="s">
        <v>366</v>
      </c>
      <c r="D28" s="8" t="s">
        <v>367</v>
      </c>
      <c r="E28" s="98" t="s">
        <v>24</v>
      </c>
      <c r="F28" s="99">
        <v>324</v>
      </c>
      <c r="G28" s="100">
        <v>324</v>
      </c>
      <c r="H28" s="8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1:29" ht="15.75">
      <c r="A29" s="8" t="s">
        <v>305</v>
      </c>
      <c r="B29" s="97"/>
      <c r="C29" s="8" t="s">
        <v>366</v>
      </c>
      <c r="D29" s="8" t="s">
        <v>358</v>
      </c>
      <c r="E29" s="98" t="s">
        <v>32</v>
      </c>
      <c r="F29" s="99">
        <v>38</v>
      </c>
      <c r="G29" s="100">
        <v>38</v>
      </c>
      <c r="H29" s="8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29" ht="15.75">
      <c r="A30" s="8" t="s">
        <v>307</v>
      </c>
      <c r="B30" s="97"/>
      <c r="C30" s="8" t="s">
        <v>366</v>
      </c>
      <c r="D30" s="8" t="s">
        <v>367</v>
      </c>
      <c r="E30" s="98" t="s">
        <v>24</v>
      </c>
      <c r="F30" s="99">
        <v>200</v>
      </c>
      <c r="G30" s="100">
        <v>200</v>
      </c>
      <c r="H30" s="8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ht="15.75">
      <c r="A31" s="8" t="s">
        <v>307</v>
      </c>
      <c r="B31" s="97"/>
      <c r="C31" s="8" t="s">
        <v>366</v>
      </c>
      <c r="D31" s="8" t="s">
        <v>368</v>
      </c>
      <c r="E31" s="98" t="s">
        <v>18</v>
      </c>
      <c r="F31" s="99">
        <v>50</v>
      </c>
      <c r="G31" s="100">
        <v>50</v>
      </c>
      <c r="H31" s="8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ht="15.75">
      <c r="A32" s="8" t="s">
        <v>307</v>
      </c>
      <c r="B32" s="97"/>
      <c r="C32" s="8" t="s">
        <v>366</v>
      </c>
      <c r="D32" s="8" t="s">
        <v>357</v>
      </c>
      <c r="E32" s="98" t="s">
        <v>85</v>
      </c>
      <c r="F32" s="99">
        <v>52</v>
      </c>
      <c r="G32" s="100">
        <v>52</v>
      </c>
      <c r="H32" s="8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spans="1:29" ht="15.75">
      <c r="A33" s="8" t="s">
        <v>307</v>
      </c>
      <c r="B33" s="97"/>
      <c r="C33" s="8" t="s">
        <v>366</v>
      </c>
      <c r="D33" s="8" t="s">
        <v>369</v>
      </c>
      <c r="E33" s="98" t="s">
        <v>370</v>
      </c>
      <c r="F33" s="99">
        <v>32</v>
      </c>
      <c r="G33" s="100">
        <v>32</v>
      </c>
      <c r="H33" s="8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ht="15.75">
      <c r="A34" s="8" t="s">
        <v>308</v>
      </c>
      <c r="B34" s="97"/>
      <c r="C34" s="8" t="s">
        <v>371</v>
      </c>
      <c r="D34" s="8" t="s">
        <v>372</v>
      </c>
      <c r="E34" s="98" t="s">
        <v>145</v>
      </c>
      <c r="F34" s="99">
        <v>150</v>
      </c>
      <c r="G34" s="100">
        <v>98.25</v>
      </c>
      <c r="H34" s="8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ht="15.75">
      <c r="A35" s="8" t="s">
        <v>308</v>
      </c>
      <c r="B35" s="97"/>
      <c r="C35" s="8" t="s">
        <v>371</v>
      </c>
      <c r="D35" s="8" t="s">
        <v>373</v>
      </c>
      <c r="E35" s="98" t="s">
        <v>39</v>
      </c>
      <c r="F35" s="99">
        <v>75</v>
      </c>
      <c r="G35" s="100">
        <v>128.25</v>
      </c>
      <c r="H35" s="8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ht="15.75">
      <c r="A36" s="8" t="s">
        <v>308</v>
      </c>
      <c r="B36" s="97"/>
      <c r="C36" s="8" t="s">
        <v>371</v>
      </c>
      <c r="D36" s="8" t="s">
        <v>373</v>
      </c>
      <c r="E36" s="98" t="s">
        <v>39</v>
      </c>
      <c r="F36" s="99">
        <v>125</v>
      </c>
      <c r="G36" s="100">
        <v>213.75</v>
      </c>
      <c r="H36" s="8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ht="15.75">
      <c r="A37" s="8" t="s">
        <v>308</v>
      </c>
      <c r="B37" s="97"/>
      <c r="C37" s="8" t="s">
        <v>371</v>
      </c>
      <c r="D37" s="8" t="s">
        <v>374</v>
      </c>
      <c r="E37" s="98" t="s">
        <v>77</v>
      </c>
      <c r="F37" s="99">
        <v>16</v>
      </c>
      <c r="G37" s="100">
        <v>81.5</v>
      </c>
      <c r="H37" s="8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ht="15.75">
      <c r="A38" s="8" t="s">
        <v>308</v>
      </c>
      <c r="B38" s="97"/>
      <c r="C38" s="8" t="s">
        <v>371</v>
      </c>
      <c r="D38" s="8" t="s">
        <v>375</v>
      </c>
      <c r="E38" s="98" t="s">
        <v>77</v>
      </c>
      <c r="F38" s="99">
        <v>500</v>
      </c>
      <c r="G38" s="100">
        <v>313.5</v>
      </c>
      <c r="H38" s="8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spans="1:29" ht="15.75">
      <c r="A39" s="8" t="s">
        <v>308</v>
      </c>
      <c r="B39" s="97"/>
      <c r="C39" s="8" t="s">
        <v>371</v>
      </c>
      <c r="D39" s="8" t="s">
        <v>376</v>
      </c>
      <c r="E39" s="98" t="s">
        <v>77</v>
      </c>
      <c r="F39" s="99">
        <v>150</v>
      </c>
      <c r="G39" s="100">
        <v>90</v>
      </c>
      <c r="H39" s="8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ht="15.75">
      <c r="A40" s="8" t="s">
        <v>308</v>
      </c>
      <c r="B40" s="97"/>
      <c r="C40" s="8" t="s">
        <v>371</v>
      </c>
      <c r="D40" s="8" t="s">
        <v>374</v>
      </c>
      <c r="E40" s="98" t="s">
        <v>77</v>
      </c>
      <c r="F40" s="99">
        <v>24</v>
      </c>
      <c r="G40" s="100">
        <v>122.25</v>
      </c>
      <c r="H40" s="8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ht="15.75">
      <c r="A41" s="8" t="s">
        <v>308</v>
      </c>
      <c r="B41" s="97"/>
      <c r="C41" s="8" t="s">
        <v>371</v>
      </c>
      <c r="D41" s="8" t="s">
        <v>377</v>
      </c>
      <c r="E41" s="98" t="s">
        <v>77</v>
      </c>
      <c r="F41" s="99">
        <v>25</v>
      </c>
      <c r="G41" s="100">
        <v>29</v>
      </c>
      <c r="H41" s="8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ht="15.75">
      <c r="A42" s="8" t="s">
        <v>308</v>
      </c>
      <c r="B42" s="97"/>
      <c r="C42" s="8" t="s">
        <v>371</v>
      </c>
      <c r="D42" s="8" t="s">
        <v>375</v>
      </c>
      <c r="E42" s="98" t="s">
        <v>77</v>
      </c>
      <c r="F42" s="99">
        <v>750</v>
      </c>
      <c r="G42" s="100">
        <v>470.25</v>
      </c>
      <c r="H42" s="8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ht="15.75">
      <c r="A43" s="8" t="s">
        <v>308</v>
      </c>
      <c r="B43" s="97"/>
      <c r="C43" s="8" t="s">
        <v>371</v>
      </c>
      <c r="D43" s="8" t="s">
        <v>376</v>
      </c>
      <c r="E43" s="98" t="s">
        <v>77</v>
      </c>
      <c r="F43" s="99">
        <v>150</v>
      </c>
      <c r="G43" s="100">
        <v>90</v>
      </c>
      <c r="H43" s="8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ht="15.75">
      <c r="A44" s="8" t="s">
        <v>308</v>
      </c>
      <c r="B44" s="97"/>
      <c r="C44" s="8" t="s">
        <v>371</v>
      </c>
      <c r="D44" s="8" t="s">
        <v>378</v>
      </c>
      <c r="E44" s="98" t="s">
        <v>80</v>
      </c>
      <c r="F44" s="99">
        <v>66</v>
      </c>
      <c r="G44" s="100">
        <v>104.25</v>
      </c>
      <c r="H44" s="8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ht="15.75">
      <c r="A45" s="8" t="s">
        <v>308</v>
      </c>
      <c r="B45" s="97"/>
      <c r="C45" s="8" t="s">
        <v>371</v>
      </c>
      <c r="D45" s="8" t="s">
        <v>379</v>
      </c>
      <c r="E45" s="98" t="s">
        <v>80</v>
      </c>
      <c r="F45" s="99">
        <v>25</v>
      </c>
      <c r="G45" s="100">
        <v>30.75</v>
      </c>
      <c r="H45" s="8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ht="15.75">
      <c r="A46" s="8" t="s">
        <v>308</v>
      </c>
      <c r="B46" s="97"/>
      <c r="C46" s="8" t="s">
        <v>371</v>
      </c>
      <c r="D46" s="8" t="s">
        <v>380</v>
      </c>
      <c r="E46" s="98" t="s">
        <v>80</v>
      </c>
      <c r="F46" s="99">
        <v>50</v>
      </c>
      <c r="G46" s="100">
        <v>61.5</v>
      </c>
      <c r="H46" s="8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ht="15.75">
      <c r="A47" s="8" t="s">
        <v>308</v>
      </c>
      <c r="B47" s="97"/>
      <c r="C47" s="8" t="s">
        <v>371</v>
      </c>
      <c r="D47" s="8" t="s">
        <v>378</v>
      </c>
      <c r="E47" s="98" t="s">
        <v>80</v>
      </c>
      <c r="F47" s="99">
        <v>60</v>
      </c>
      <c r="G47" s="100">
        <v>101.25</v>
      </c>
      <c r="H47" s="8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spans="1:29" ht="15.75">
      <c r="A48" s="8" t="s">
        <v>308</v>
      </c>
      <c r="B48" s="97"/>
      <c r="C48" s="8" t="s">
        <v>371</v>
      </c>
      <c r="D48" s="8" t="s">
        <v>381</v>
      </c>
      <c r="E48" s="98" t="s">
        <v>60</v>
      </c>
      <c r="F48" s="99">
        <v>90</v>
      </c>
      <c r="G48" s="100">
        <v>69.5</v>
      </c>
      <c r="H48" s="8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ht="15.75">
      <c r="A49" s="8" t="s">
        <v>308</v>
      </c>
      <c r="B49" s="97"/>
      <c r="C49" s="8" t="s">
        <v>371</v>
      </c>
      <c r="D49" s="8" t="s">
        <v>381</v>
      </c>
      <c r="E49" s="98" t="s">
        <v>60</v>
      </c>
      <c r="F49" s="99">
        <v>180</v>
      </c>
      <c r="G49" s="100">
        <v>159</v>
      </c>
      <c r="H49" s="8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ht="15.75">
      <c r="A50" s="8" t="s">
        <v>308</v>
      </c>
      <c r="B50" s="97"/>
      <c r="C50" s="8" t="s">
        <v>371</v>
      </c>
      <c r="D50" s="8" t="s">
        <v>382</v>
      </c>
      <c r="E50" s="98" t="s">
        <v>383</v>
      </c>
      <c r="F50" s="99">
        <v>245</v>
      </c>
      <c r="G50" s="100">
        <v>250.25</v>
      </c>
      <c r="H50" s="8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ht="15.75">
      <c r="A51" s="8" t="s">
        <v>308</v>
      </c>
      <c r="B51" s="97"/>
      <c r="C51" s="8" t="s">
        <v>371</v>
      </c>
      <c r="D51" s="8" t="s">
        <v>382</v>
      </c>
      <c r="E51" s="98" t="s">
        <v>383</v>
      </c>
      <c r="F51" s="99">
        <v>350</v>
      </c>
      <c r="G51" s="100">
        <v>397.5</v>
      </c>
      <c r="H51" s="8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ht="15.75">
      <c r="A52" s="8" t="s">
        <v>308</v>
      </c>
      <c r="B52" s="97"/>
      <c r="C52" s="8" t="s">
        <v>371</v>
      </c>
      <c r="D52" s="8" t="s">
        <v>384</v>
      </c>
      <c r="E52" s="98" t="s">
        <v>41</v>
      </c>
      <c r="F52" s="99">
        <v>100</v>
      </c>
      <c r="G52" s="100">
        <v>87.5</v>
      </c>
      <c r="H52" s="8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spans="1:29" ht="15.75">
      <c r="A53" s="8" t="s">
        <v>308</v>
      </c>
      <c r="B53" s="97"/>
      <c r="C53" s="8" t="s">
        <v>371</v>
      </c>
      <c r="D53" s="8" t="s">
        <v>384</v>
      </c>
      <c r="E53" s="98" t="s">
        <v>41</v>
      </c>
      <c r="F53" s="99">
        <v>100</v>
      </c>
      <c r="G53" s="100">
        <v>87.5</v>
      </c>
      <c r="H53" s="8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ht="15.75">
      <c r="A54" s="8" t="s">
        <v>308</v>
      </c>
      <c r="B54" s="97"/>
      <c r="C54" s="8" t="s">
        <v>371</v>
      </c>
      <c r="D54" s="8" t="s">
        <v>385</v>
      </c>
      <c r="E54" s="98" t="s">
        <v>386</v>
      </c>
      <c r="F54" s="99">
        <v>10</v>
      </c>
      <c r="G54" s="100">
        <v>37.75</v>
      </c>
      <c r="H54" s="8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ht="15.75">
      <c r="A55" s="8" t="s">
        <v>308</v>
      </c>
      <c r="B55" s="97"/>
      <c r="C55" s="8" t="s">
        <v>371</v>
      </c>
      <c r="D55" s="8" t="s">
        <v>385</v>
      </c>
      <c r="E55" s="98" t="s">
        <v>386</v>
      </c>
      <c r="F55" s="99">
        <v>10</v>
      </c>
      <c r="G55" s="100">
        <v>37.75</v>
      </c>
      <c r="H55" s="8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ht="15.75">
      <c r="A56" s="8" t="s">
        <v>308</v>
      </c>
      <c r="B56" s="97"/>
      <c r="C56" s="8" t="s">
        <v>371</v>
      </c>
      <c r="D56" s="8" t="s">
        <v>387</v>
      </c>
      <c r="E56" s="98" t="s">
        <v>388</v>
      </c>
      <c r="F56" s="99">
        <v>60</v>
      </c>
      <c r="G56" s="100">
        <v>35.75</v>
      </c>
      <c r="H56" s="8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spans="1:29" ht="15.75">
      <c r="A57" s="8" t="s">
        <v>308</v>
      </c>
      <c r="B57" s="97"/>
      <c r="C57" s="8" t="s">
        <v>371</v>
      </c>
      <c r="D57" s="8" t="s">
        <v>387</v>
      </c>
      <c r="E57" s="98" t="s">
        <v>388</v>
      </c>
      <c r="F57" s="99">
        <v>60</v>
      </c>
      <c r="G57" s="100">
        <v>35.75</v>
      </c>
      <c r="H57" s="8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  <row r="58" spans="1:29" ht="15.75">
      <c r="A58" s="8" t="s">
        <v>308</v>
      </c>
      <c r="B58" s="97"/>
      <c r="C58" s="8" t="s">
        <v>371</v>
      </c>
      <c r="D58" s="8" t="s">
        <v>389</v>
      </c>
      <c r="E58" s="98" t="s">
        <v>390</v>
      </c>
      <c r="F58" s="99">
        <v>48</v>
      </c>
      <c r="G58" s="100">
        <v>264</v>
      </c>
      <c r="H58" s="8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 spans="1:29" ht="15.75">
      <c r="A59" s="8" t="s">
        <v>308</v>
      </c>
      <c r="B59" s="97"/>
      <c r="C59" s="8" t="s">
        <v>371</v>
      </c>
      <c r="D59" s="8" t="s">
        <v>389</v>
      </c>
      <c r="E59" s="98" t="s">
        <v>390</v>
      </c>
      <c r="F59" s="99">
        <v>60</v>
      </c>
      <c r="G59" s="100">
        <v>330</v>
      </c>
      <c r="H59" s="8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spans="1:29" ht="15.75">
      <c r="A60" s="8" t="s">
        <v>308</v>
      </c>
      <c r="B60" s="97"/>
      <c r="C60" s="8" t="s">
        <v>371</v>
      </c>
      <c r="D60" s="8" t="s">
        <v>391</v>
      </c>
      <c r="E60" s="98" t="s">
        <v>62</v>
      </c>
      <c r="F60" s="99">
        <v>19.5</v>
      </c>
      <c r="G60" s="100">
        <v>44.75</v>
      </c>
      <c r="H60" s="8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</row>
    <row r="61" spans="1:29" ht="15.75">
      <c r="A61" s="8" t="s">
        <v>308</v>
      </c>
      <c r="B61" s="97"/>
      <c r="C61" s="8" t="s">
        <v>371</v>
      </c>
      <c r="D61" s="8" t="s">
        <v>391</v>
      </c>
      <c r="E61" s="98" t="s">
        <v>62</v>
      </c>
      <c r="F61" s="99">
        <v>25</v>
      </c>
      <c r="G61" s="100">
        <v>43.75</v>
      </c>
      <c r="H61" s="8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</row>
    <row r="62" spans="1:29" ht="15.75">
      <c r="A62" s="8" t="s">
        <v>308</v>
      </c>
      <c r="B62" s="97"/>
      <c r="C62" s="8" t="s">
        <v>371</v>
      </c>
      <c r="D62" s="8" t="s">
        <v>392</v>
      </c>
      <c r="E62" s="98" t="s">
        <v>32</v>
      </c>
      <c r="F62" s="99">
        <v>15</v>
      </c>
      <c r="G62" s="100">
        <v>37.75</v>
      </c>
      <c r="H62" s="8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29" ht="15.75">
      <c r="A63" s="8" t="s">
        <v>308</v>
      </c>
      <c r="B63" s="97"/>
      <c r="C63" s="8" t="s">
        <v>371</v>
      </c>
      <c r="D63" s="8" t="s">
        <v>393</v>
      </c>
      <c r="E63" s="98" t="s">
        <v>32</v>
      </c>
      <c r="F63" s="99">
        <v>22</v>
      </c>
      <c r="G63" s="100">
        <v>30.75</v>
      </c>
      <c r="H63" s="8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spans="1:29" ht="15.75">
      <c r="A64" s="8" t="s">
        <v>308</v>
      </c>
      <c r="B64" s="97"/>
      <c r="C64" s="8" t="s">
        <v>371</v>
      </c>
      <c r="D64" s="8" t="s">
        <v>394</v>
      </c>
      <c r="E64" s="98" t="s">
        <v>32</v>
      </c>
      <c r="F64" s="99">
        <v>6</v>
      </c>
      <c r="G64" s="100">
        <v>25.36</v>
      </c>
      <c r="H64" s="8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spans="1:29" ht="15.75">
      <c r="A65" s="8" t="s">
        <v>308</v>
      </c>
      <c r="B65" s="97"/>
      <c r="C65" s="8" t="s">
        <v>371</v>
      </c>
      <c r="D65" s="8" t="s">
        <v>393</v>
      </c>
      <c r="E65" s="98" t="s">
        <v>32</v>
      </c>
      <c r="F65" s="99">
        <v>44</v>
      </c>
      <c r="G65" s="100">
        <v>61.5</v>
      </c>
      <c r="H65" s="8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 spans="1:29" ht="15.75">
      <c r="A66" s="8" t="s">
        <v>308</v>
      </c>
      <c r="B66" s="97"/>
      <c r="C66" s="8" t="s">
        <v>371</v>
      </c>
      <c r="D66" s="8" t="s">
        <v>395</v>
      </c>
      <c r="E66" s="98" t="s">
        <v>44</v>
      </c>
      <c r="F66" s="99">
        <v>228</v>
      </c>
      <c r="G66" s="100">
        <v>350.7</v>
      </c>
      <c r="H66" s="8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</row>
    <row r="67" spans="1:29" ht="15.75">
      <c r="A67" s="8" t="s">
        <v>308</v>
      </c>
      <c r="B67" s="97"/>
      <c r="C67" s="8" t="s">
        <v>371</v>
      </c>
      <c r="D67" s="8" t="s">
        <v>396</v>
      </c>
      <c r="E67" s="98" t="s">
        <v>138</v>
      </c>
      <c r="F67" s="99" t="s">
        <v>362</v>
      </c>
      <c r="G67" s="100">
        <v>256.5</v>
      </c>
      <c r="H67" s="102" t="s">
        <v>397</v>
      </c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</row>
    <row r="68" spans="1:29" ht="15.75">
      <c r="A68" s="8" t="s">
        <v>308</v>
      </c>
      <c r="B68" s="97"/>
      <c r="C68" s="8" t="s">
        <v>371</v>
      </c>
      <c r="D68" s="8" t="s">
        <v>396</v>
      </c>
      <c r="E68" s="98" t="s">
        <v>138</v>
      </c>
      <c r="F68" s="99" t="s">
        <v>362</v>
      </c>
      <c r="G68" s="100">
        <v>570</v>
      </c>
      <c r="H68" s="102" t="s">
        <v>398</v>
      </c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</row>
    <row r="69" spans="1:29" ht="15.75">
      <c r="A69" s="8" t="s">
        <v>308</v>
      </c>
      <c r="B69" s="97"/>
      <c r="C69" s="8" t="s">
        <v>371</v>
      </c>
      <c r="D69" s="8" t="s">
        <v>399</v>
      </c>
      <c r="E69" s="98" t="s">
        <v>138</v>
      </c>
      <c r="F69" s="99">
        <v>114</v>
      </c>
      <c r="G69" s="100">
        <v>131.25</v>
      </c>
      <c r="H69" s="8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</row>
    <row r="70" spans="1:29" ht="15.75">
      <c r="A70" s="8" t="s">
        <v>308</v>
      </c>
      <c r="B70" s="97"/>
      <c r="C70" s="8" t="s">
        <v>371</v>
      </c>
      <c r="D70" s="8" t="s">
        <v>399</v>
      </c>
      <c r="E70" s="98" t="s">
        <v>138</v>
      </c>
      <c r="F70" s="99">
        <v>190</v>
      </c>
      <c r="G70" s="100">
        <v>218.75</v>
      </c>
      <c r="H70" s="8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</row>
    <row r="71" spans="1:29" ht="15.75">
      <c r="A71" s="8" t="s">
        <v>308</v>
      </c>
      <c r="B71" s="97"/>
      <c r="C71" s="8" t="s">
        <v>371</v>
      </c>
      <c r="D71" s="8" t="s">
        <v>399</v>
      </c>
      <c r="E71" s="98" t="s">
        <v>138</v>
      </c>
      <c r="F71" s="99">
        <v>190</v>
      </c>
      <c r="G71" s="100">
        <v>208.75</v>
      </c>
      <c r="H71" s="8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</row>
    <row r="72" spans="1:29" ht="15.75">
      <c r="A72" s="8" t="s">
        <v>308</v>
      </c>
      <c r="B72" s="97"/>
      <c r="C72" s="8" t="s">
        <v>371</v>
      </c>
      <c r="D72" s="8" t="s">
        <v>400</v>
      </c>
      <c r="E72" s="98" t="s">
        <v>72</v>
      </c>
      <c r="F72" s="99">
        <v>76</v>
      </c>
      <c r="G72" s="100">
        <v>175</v>
      </c>
      <c r="H72" s="8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</row>
    <row r="73" spans="1:29" ht="15.75">
      <c r="A73" s="8" t="s">
        <v>308</v>
      </c>
      <c r="B73" s="97"/>
      <c r="C73" s="8" t="s">
        <v>371</v>
      </c>
      <c r="D73" s="8" t="s">
        <v>401</v>
      </c>
      <c r="E73" s="98" t="s">
        <v>72</v>
      </c>
      <c r="F73" s="99">
        <v>38</v>
      </c>
      <c r="G73" s="100">
        <v>87.5</v>
      </c>
      <c r="H73" s="8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</row>
    <row r="74" spans="1:29" ht="15.75">
      <c r="A74" s="8" t="s">
        <v>308</v>
      </c>
      <c r="B74" s="97"/>
      <c r="C74" s="8" t="s">
        <v>371</v>
      </c>
      <c r="D74" s="8" t="s">
        <v>400</v>
      </c>
      <c r="E74" s="98" t="s">
        <v>72</v>
      </c>
      <c r="F74" s="99">
        <v>38</v>
      </c>
      <c r="G74" s="100">
        <v>87.5</v>
      </c>
      <c r="H74" s="8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</row>
    <row r="75" spans="1:29" ht="15.75">
      <c r="A75" s="8" t="s">
        <v>308</v>
      </c>
      <c r="B75" s="97"/>
      <c r="C75" s="8" t="s">
        <v>371</v>
      </c>
      <c r="D75" s="8" t="s">
        <v>402</v>
      </c>
      <c r="E75" s="98" t="s">
        <v>403</v>
      </c>
      <c r="F75" s="99">
        <v>120</v>
      </c>
      <c r="G75" s="100">
        <v>183.75</v>
      </c>
      <c r="H75" s="8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</row>
    <row r="76" spans="1:29" ht="15.75">
      <c r="A76" s="8" t="s">
        <v>308</v>
      </c>
      <c r="B76" s="97"/>
      <c r="C76" s="8" t="s">
        <v>371</v>
      </c>
      <c r="D76" s="8" t="s">
        <v>404</v>
      </c>
      <c r="E76" s="98" t="s">
        <v>403</v>
      </c>
      <c r="F76" s="99">
        <v>120</v>
      </c>
      <c r="G76" s="100">
        <v>246.25</v>
      </c>
      <c r="H76" s="8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</row>
    <row r="77" spans="1:29" ht="15.75">
      <c r="A77" s="8" t="s">
        <v>308</v>
      </c>
      <c r="B77" s="97"/>
      <c r="C77" s="8" t="s">
        <v>371</v>
      </c>
      <c r="D77" s="8" t="s">
        <v>405</v>
      </c>
      <c r="E77" s="98" t="s">
        <v>403</v>
      </c>
      <c r="F77" s="99">
        <v>120</v>
      </c>
      <c r="G77" s="100">
        <v>183.75</v>
      </c>
      <c r="H77" s="8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</row>
    <row r="78" spans="1:29" ht="15.75">
      <c r="A78" s="8" t="s">
        <v>308</v>
      </c>
      <c r="B78" s="97"/>
      <c r="C78" s="8" t="s">
        <v>371</v>
      </c>
      <c r="D78" s="8" t="s">
        <v>406</v>
      </c>
      <c r="E78" s="98" t="s">
        <v>407</v>
      </c>
      <c r="F78" s="99">
        <v>250</v>
      </c>
      <c r="G78" s="100">
        <v>410</v>
      </c>
      <c r="H78" s="8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</row>
    <row r="79" spans="1:29" ht="15.75">
      <c r="A79" s="8" t="s">
        <v>309</v>
      </c>
      <c r="B79" s="97"/>
      <c r="C79" s="8" t="s">
        <v>352</v>
      </c>
      <c r="D79" s="8" t="s">
        <v>353</v>
      </c>
      <c r="E79" s="98" t="s">
        <v>62</v>
      </c>
      <c r="F79" s="99">
        <v>11</v>
      </c>
      <c r="G79" s="100">
        <v>100</v>
      </c>
      <c r="H79" s="103" t="s">
        <v>408</v>
      </c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</row>
    <row r="80" spans="1:29" ht="15.75" customHeight="1">
      <c r="A80" s="102" t="s">
        <v>310</v>
      </c>
      <c r="B80" s="97"/>
      <c r="C80" s="8" t="s">
        <v>409</v>
      </c>
      <c r="D80" s="8" t="s">
        <v>410</v>
      </c>
      <c r="E80" s="98" t="s">
        <v>411</v>
      </c>
      <c r="F80" s="99">
        <v>100</v>
      </c>
      <c r="G80" s="100">
        <v>100</v>
      </c>
      <c r="H80" s="104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</row>
    <row r="81" spans="1:29" ht="15.75" customHeight="1">
      <c r="A81" s="102" t="s">
        <v>310</v>
      </c>
      <c r="B81" s="97"/>
      <c r="C81" s="8" t="s">
        <v>409</v>
      </c>
      <c r="D81" s="8" t="s">
        <v>314</v>
      </c>
      <c r="E81" s="98" t="s">
        <v>412</v>
      </c>
      <c r="F81" s="99">
        <v>10</v>
      </c>
      <c r="G81" s="100">
        <v>10</v>
      </c>
      <c r="H81" s="104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</row>
    <row r="82" spans="1:29" ht="15.75" customHeight="1">
      <c r="A82" s="102" t="s">
        <v>413</v>
      </c>
      <c r="B82" s="97"/>
      <c r="C82" s="8" t="s">
        <v>409</v>
      </c>
      <c r="D82" s="8" t="s">
        <v>410</v>
      </c>
      <c r="E82" s="98" t="s">
        <v>411</v>
      </c>
      <c r="F82" s="99">
        <v>70</v>
      </c>
      <c r="G82" s="100" t="s">
        <v>362</v>
      </c>
      <c r="H82" s="105" t="s">
        <v>414</v>
      </c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</row>
    <row r="83" spans="1:29" ht="15.75" customHeight="1">
      <c r="A83" s="102" t="s">
        <v>413</v>
      </c>
      <c r="B83" s="97"/>
      <c r="C83" s="8" t="s">
        <v>409</v>
      </c>
      <c r="D83" s="8" t="s">
        <v>314</v>
      </c>
      <c r="E83" s="98" t="s">
        <v>412</v>
      </c>
      <c r="F83" s="99">
        <v>6</v>
      </c>
      <c r="G83" s="100" t="s">
        <v>362</v>
      </c>
      <c r="H83" s="10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</row>
    <row r="84" spans="1:29" ht="15.75" customHeight="1">
      <c r="A84" s="102" t="s">
        <v>415</v>
      </c>
      <c r="B84" s="97"/>
      <c r="C84" s="8" t="s">
        <v>409</v>
      </c>
      <c r="D84" s="8" t="s">
        <v>410</v>
      </c>
      <c r="E84" s="98" t="s">
        <v>411</v>
      </c>
      <c r="F84" s="99" t="s">
        <v>362</v>
      </c>
      <c r="G84" s="100">
        <v>80</v>
      </c>
      <c r="H84" s="104" t="s">
        <v>416</v>
      </c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</row>
    <row r="85" spans="1:29" ht="15.75" customHeight="1">
      <c r="A85" s="102" t="s">
        <v>415</v>
      </c>
      <c r="B85" s="97"/>
      <c r="C85" s="8" t="s">
        <v>409</v>
      </c>
      <c r="D85" s="8" t="s">
        <v>417</v>
      </c>
      <c r="E85" s="98" t="s">
        <v>412</v>
      </c>
      <c r="F85" s="99" t="s">
        <v>362</v>
      </c>
      <c r="G85" s="100">
        <v>40</v>
      </c>
      <c r="H85" s="104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</row>
    <row r="86" spans="1:29" ht="15.75" customHeight="1">
      <c r="A86" s="102" t="s">
        <v>418</v>
      </c>
      <c r="B86" s="97"/>
      <c r="C86" s="8" t="s">
        <v>409</v>
      </c>
      <c r="D86" s="8" t="s">
        <v>410</v>
      </c>
      <c r="E86" s="98" t="s">
        <v>411</v>
      </c>
      <c r="F86" s="99" t="s">
        <v>362</v>
      </c>
      <c r="G86" s="100" t="s">
        <v>362</v>
      </c>
      <c r="H86" s="105" t="s">
        <v>419</v>
      </c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</row>
    <row r="87" spans="1:29" ht="15.75" customHeight="1">
      <c r="A87" s="102" t="s">
        <v>418</v>
      </c>
      <c r="B87" s="97"/>
      <c r="C87" s="8" t="s">
        <v>409</v>
      </c>
      <c r="D87" s="8" t="s">
        <v>314</v>
      </c>
      <c r="E87" s="98" t="s">
        <v>412</v>
      </c>
      <c r="F87" s="99" t="s">
        <v>362</v>
      </c>
      <c r="G87" s="100" t="s">
        <v>362</v>
      </c>
      <c r="H87" s="10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</row>
    <row r="88" spans="1:29" ht="15.75" customHeight="1">
      <c r="A88" s="102" t="s">
        <v>316</v>
      </c>
      <c r="B88" s="97"/>
      <c r="C88" s="8" t="s">
        <v>409</v>
      </c>
      <c r="D88" s="8" t="s">
        <v>410</v>
      </c>
      <c r="E88" s="98" t="s">
        <v>411</v>
      </c>
      <c r="F88" s="99">
        <v>229</v>
      </c>
      <c r="G88" s="100">
        <v>229</v>
      </c>
      <c r="H88" s="105" t="s">
        <v>420</v>
      </c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</row>
    <row r="89" spans="1:29" ht="15.75" customHeight="1">
      <c r="A89" s="102" t="s">
        <v>421</v>
      </c>
      <c r="B89" s="97"/>
      <c r="C89" s="8" t="s">
        <v>409</v>
      </c>
      <c r="D89" s="8" t="s">
        <v>422</v>
      </c>
      <c r="E89" s="98" t="s">
        <v>411</v>
      </c>
      <c r="F89" s="99" t="s">
        <v>362</v>
      </c>
      <c r="G89" s="100" t="s">
        <v>362</v>
      </c>
      <c r="H89" s="105" t="s">
        <v>423</v>
      </c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</row>
    <row r="90" spans="1:29" ht="15.75" customHeight="1">
      <c r="A90" s="102" t="s">
        <v>421</v>
      </c>
      <c r="B90" s="97"/>
      <c r="C90" s="8" t="s">
        <v>409</v>
      </c>
      <c r="D90" s="8" t="s">
        <v>417</v>
      </c>
      <c r="E90" s="98" t="s">
        <v>412</v>
      </c>
      <c r="F90" s="99" t="s">
        <v>362</v>
      </c>
      <c r="G90" s="100" t="s">
        <v>362</v>
      </c>
      <c r="H90" s="10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</row>
    <row r="91" spans="1:29" ht="15.75" customHeight="1">
      <c r="A91" s="102" t="s">
        <v>317</v>
      </c>
      <c r="B91" s="97"/>
      <c r="C91" s="8" t="s">
        <v>409</v>
      </c>
      <c r="D91" s="8" t="s">
        <v>410</v>
      </c>
      <c r="E91" s="98" t="s">
        <v>411</v>
      </c>
      <c r="F91" s="99">
        <v>732</v>
      </c>
      <c r="G91" s="100">
        <v>732</v>
      </c>
      <c r="H91" s="10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</row>
    <row r="92" spans="1:29" ht="15.75" customHeight="1">
      <c r="A92" s="102" t="s">
        <v>317</v>
      </c>
      <c r="B92" s="97"/>
      <c r="C92" s="8" t="s">
        <v>409</v>
      </c>
      <c r="D92" s="8" t="s">
        <v>314</v>
      </c>
      <c r="E92" s="98" t="s">
        <v>412</v>
      </c>
      <c r="F92" s="99">
        <v>30</v>
      </c>
      <c r="G92" s="100">
        <v>30</v>
      </c>
      <c r="H92" s="10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</row>
    <row r="93" spans="1:29" ht="15.75" customHeight="1">
      <c r="A93" s="33" t="s">
        <v>424</v>
      </c>
      <c r="B93" s="106"/>
      <c r="C93" s="107" t="s">
        <v>409</v>
      </c>
      <c r="D93" s="108" t="s">
        <v>410</v>
      </c>
      <c r="E93" s="109" t="s">
        <v>411</v>
      </c>
      <c r="F93" s="110" t="s">
        <v>362</v>
      </c>
      <c r="G93" s="111">
        <v>200</v>
      </c>
      <c r="H93" s="112"/>
    </row>
    <row r="94" spans="1:29" ht="15.75">
      <c r="A94" s="113" t="s">
        <v>318</v>
      </c>
      <c r="B94" s="114"/>
      <c r="C94" s="113" t="s">
        <v>409</v>
      </c>
      <c r="D94" s="113" t="s">
        <v>422</v>
      </c>
      <c r="E94" s="115" t="s">
        <v>411</v>
      </c>
      <c r="F94" s="116">
        <v>186</v>
      </c>
      <c r="G94" s="100">
        <v>300</v>
      </c>
      <c r="H94" s="113"/>
    </row>
    <row r="95" spans="1:29" ht="15.75">
      <c r="A95" s="113" t="s">
        <v>318</v>
      </c>
      <c r="B95" s="114"/>
      <c r="C95" s="113" t="s">
        <v>409</v>
      </c>
      <c r="D95" s="113" t="s">
        <v>314</v>
      </c>
      <c r="E95" s="115" t="s">
        <v>412</v>
      </c>
      <c r="F95" s="116">
        <v>18</v>
      </c>
      <c r="G95" s="100">
        <v>100</v>
      </c>
      <c r="H95" s="113"/>
    </row>
    <row r="96" spans="1:29" ht="15.75">
      <c r="A96" s="102" t="s">
        <v>425</v>
      </c>
      <c r="B96" s="97"/>
      <c r="C96" s="8" t="s">
        <v>409</v>
      </c>
      <c r="D96" s="8" t="s">
        <v>410</v>
      </c>
      <c r="E96" s="98" t="s">
        <v>411</v>
      </c>
      <c r="F96" s="99" t="s">
        <v>362</v>
      </c>
      <c r="G96" s="100" t="s">
        <v>362</v>
      </c>
      <c r="H96" s="105" t="s">
        <v>423</v>
      </c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</row>
    <row r="97" spans="1:29" ht="15.75">
      <c r="A97" s="102" t="s">
        <v>425</v>
      </c>
      <c r="B97" s="97"/>
      <c r="C97" s="8" t="s">
        <v>409</v>
      </c>
      <c r="D97" s="8" t="s">
        <v>417</v>
      </c>
      <c r="E97" s="98" t="s">
        <v>412</v>
      </c>
      <c r="F97" s="99" t="s">
        <v>362</v>
      </c>
      <c r="G97" s="100" t="s">
        <v>362</v>
      </c>
      <c r="H97" s="8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</row>
    <row r="98" spans="1:29" ht="15.75" customHeight="1">
      <c r="A98" s="102" t="s">
        <v>426</v>
      </c>
      <c r="B98" s="97"/>
      <c r="C98" s="8" t="s">
        <v>409</v>
      </c>
      <c r="D98" s="8" t="s">
        <v>410</v>
      </c>
      <c r="E98" s="98" t="s">
        <v>411</v>
      </c>
      <c r="F98" s="99" t="s">
        <v>362</v>
      </c>
      <c r="G98" s="100" t="s">
        <v>362</v>
      </c>
      <c r="H98" s="103" t="s">
        <v>427</v>
      </c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</row>
    <row r="99" spans="1:29" ht="15.75" customHeight="1">
      <c r="A99" s="102" t="s">
        <v>426</v>
      </c>
      <c r="B99" s="97"/>
      <c r="C99" s="8" t="s">
        <v>409</v>
      </c>
      <c r="D99" s="8" t="s">
        <v>314</v>
      </c>
      <c r="E99" s="98" t="s">
        <v>412</v>
      </c>
      <c r="F99" s="99" t="s">
        <v>362</v>
      </c>
      <c r="G99" s="100" t="s">
        <v>362</v>
      </c>
      <c r="H99" s="10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</row>
    <row r="100" spans="1:29" ht="15.75" customHeight="1">
      <c r="A100" s="102" t="s">
        <v>319</v>
      </c>
      <c r="B100" s="97"/>
      <c r="C100" s="8" t="s">
        <v>409</v>
      </c>
      <c r="D100" s="8" t="s">
        <v>410</v>
      </c>
      <c r="E100" s="98" t="s">
        <v>411</v>
      </c>
      <c r="F100" s="99">
        <v>500</v>
      </c>
      <c r="G100" s="100">
        <v>1250</v>
      </c>
      <c r="H100" s="105" t="s">
        <v>428</v>
      </c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</row>
    <row r="101" spans="1:29" ht="15.75" customHeight="1">
      <c r="A101" s="102" t="s">
        <v>319</v>
      </c>
      <c r="B101" s="97"/>
      <c r="C101" s="8" t="s">
        <v>409</v>
      </c>
      <c r="D101" s="8" t="s">
        <v>314</v>
      </c>
      <c r="E101" s="98" t="s">
        <v>412</v>
      </c>
      <c r="F101" s="99">
        <v>10</v>
      </c>
      <c r="G101" s="100">
        <v>357.5</v>
      </c>
      <c r="H101" s="105" t="s">
        <v>429</v>
      </c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</row>
    <row r="102" spans="1:29" ht="15.75">
      <c r="A102" s="102" t="s">
        <v>319</v>
      </c>
      <c r="B102" s="97"/>
      <c r="C102" s="8" t="s">
        <v>409</v>
      </c>
      <c r="D102" s="113" t="s">
        <v>430</v>
      </c>
      <c r="E102" s="115" t="s">
        <v>431</v>
      </c>
      <c r="F102" s="116" t="s">
        <v>362</v>
      </c>
      <c r="G102" s="100">
        <v>45</v>
      </c>
      <c r="H102" s="113"/>
    </row>
    <row r="103" spans="1:29" ht="15.75">
      <c r="A103" s="102" t="s">
        <v>321</v>
      </c>
      <c r="B103" s="117"/>
      <c r="C103" s="8" t="s">
        <v>409</v>
      </c>
      <c r="D103" s="8" t="s">
        <v>410</v>
      </c>
      <c r="E103" s="98" t="s">
        <v>411</v>
      </c>
      <c r="F103" s="99">
        <v>100</v>
      </c>
      <c r="G103" s="100">
        <v>100</v>
      </c>
      <c r="H103" s="8" t="s">
        <v>432</v>
      </c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</row>
    <row r="104" spans="1:29" ht="15.75">
      <c r="A104" s="102" t="s">
        <v>321</v>
      </c>
      <c r="B104" s="117"/>
      <c r="C104" s="8" t="s">
        <v>409</v>
      </c>
      <c r="D104" s="8" t="s">
        <v>314</v>
      </c>
      <c r="E104" s="98" t="s">
        <v>412</v>
      </c>
      <c r="F104" s="99">
        <v>30</v>
      </c>
      <c r="G104" s="100">
        <v>20</v>
      </c>
      <c r="H104" s="8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</row>
    <row r="105" spans="1:29" ht="15.75">
      <c r="A105" s="102" t="s">
        <v>433</v>
      </c>
      <c r="B105" s="117"/>
      <c r="C105" s="8" t="s">
        <v>409</v>
      </c>
      <c r="D105" s="8" t="s">
        <v>410</v>
      </c>
      <c r="E105" s="98" t="s">
        <v>411</v>
      </c>
      <c r="F105" s="99" t="s">
        <v>362</v>
      </c>
      <c r="G105" s="100" t="s">
        <v>362</v>
      </c>
      <c r="H105" s="8" t="s">
        <v>434</v>
      </c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</row>
    <row r="106" spans="1:29" ht="15.75">
      <c r="A106" s="102" t="s">
        <v>433</v>
      </c>
      <c r="B106" s="117"/>
      <c r="C106" s="8" t="s">
        <v>409</v>
      </c>
      <c r="D106" s="8" t="s">
        <v>314</v>
      </c>
      <c r="E106" s="98" t="s">
        <v>412</v>
      </c>
      <c r="F106" s="99" t="s">
        <v>362</v>
      </c>
      <c r="G106" s="100" t="s">
        <v>362</v>
      </c>
      <c r="H106" s="8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</row>
    <row r="107" spans="1:29" ht="15.75">
      <c r="A107" s="102" t="s">
        <v>322</v>
      </c>
      <c r="B107" s="117"/>
      <c r="C107" s="8" t="s">
        <v>409</v>
      </c>
      <c r="D107" s="8" t="s">
        <v>410</v>
      </c>
      <c r="E107" s="98" t="s">
        <v>411</v>
      </c>
      <c r="F107" s="99">
        <v>235</v>
      </c>
      <c r="G107" s="100">
        <v>395.9</v>
      </c>
      <c r="H107" s="8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</row>
    <row r="108" spans="1:29" ht="15.75">
      <c r="A108" s="102" t="s">
        <v>322</v>
      </c>
      <c r="B108" s="117"/>
      <c r="C108" s="8" t="s">
        <v>409</v>
      </c>
      <c r="D108" s="8" t="s">
        <v>314</v>
      </c>
      <c r="E108" s="98" t="s">
        <v>412</v>
      </c>
      <c r="F108" s="99" t="s">
        <v>362</v>
      </c>
      <c r="G108" s="100" t="s">
        <v>362</v>
      </c>
      <c r="H108" s="8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</row>
    <row r="109" spans="1:29" ht="15.75">
      <c r="A109" s="102" t="s">
        <v>435</v>
      </c>
      <c r="B109" s="117"/>
      <c r="C109" s="8" t="s">
        <v>409</v>
      </c>
      <c r="D109" s="8" t="s">
        <v>410</v>
      </c>
      <c r="E109" s="98" t="s">
        <v>411</v>
      </c>
      <c r="F109" s="99" t="s">
        <v>362</v>
      </c>
      <c r="G109" s="100">
        <v>80</v>
      </c>
      <c r="H109" s="8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</row>
    <row r="110" spans="1:29" ht="15.75">
      <c r="A110" s="102" t="s">
        <v>435</v>
      </c>
      <c r="B110" s="117"/>
      <c r="C110" s="8" t="s">
        <v>409</v>
      </c>
      <c r="D110" s="8" t="s">
        <v>314</v>
      </c>
      <c r="E110" s="98" t="s">
        <v>412</v>
      </c>
      <c r="F110" s="99" t="s">
        <v>362</v>
      </c>
      <c r="G110" s="100">
        <v>40</v>
      </c>
      <c r="H110" s="8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</row>
    <row r="111" spans="1:29" ht="15.75">
      <c r="A111" s="102" t="s">
        <v>436</v>
      </c>
      <c r="B111" s="117"/>
      <c r="C111" s="8" t="s">
        <v>409</v>
      </c>
      <c r="D111" s="8" t="s">
        <v>410</v>
      </c>
      <c r="E111" s="98" t="s">
        <v>411</v>
      </c>
      <c r="F111" s="99" t="s">
        <v>362</v>
      </c>
      <c r="G111" s="100">
        <v>300</v>
      </c>
      <c r="H111" s="113"/>
    </row>
    <row r="112" spans="1:29" ht="15.75">
      <c r="A112" s="102" t="s">
        <v>436</v>
      </c>
      <c r="B112" s="117"/>
      <c r="C112" s="8" t="s">
        <v>409</v>
      </c>
      <c r="D112" s="8" t="s">
        <v>314</v>
      </c>
      <c r="E112" s="98" t="s">
        <v>412</v>
      </c>
      <c r="F112" s="99" t="s">
        <v>362</v>
      </c>
      <c r="G112" s="100">
        <v>100</v>
      </c>
      <c r="H112" s="113"/>
    </row>
    <row r="113" spans="1:29" ht="15.75">
      <c r="A113" s="102" t="s">
        <v>323</v>
      </c>
      <c r="B113" s="117"/>
      <c r="C113" s="8" t="s">
        <v>409</v>
      </c>
      <c r="D113" s="8" t="s">
        <v>410</v>
      </c>
      <c r="E113" s="98" t="s">
        <v>411</v>
      </c>
      <c r="F113" s="99">
        <v>200</v>
      </c>
      <c r="G113" s="100">
        <v>300</v>
      </c>
      <c r="H113" s="8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</row>
    <row r="114" spans="1:29" ht="15.75">
      <c r="A114" s="102" t="s">
        <v>323</v>
      </c>
      <c r="B114" s="117"/>
      <c r="C114" s="8" t="s">
        <v>409</v>
      </c>
      <c r="D114" s="8" t="s">
        <v>314</v>
      </c>
      <c r="E114" s="98" t="s">
        <v>412</v>
      </c>
      <c r="F114" s="99">
        <v>14</v>
      </c>
      <c r="G114" s="100">
        <v>78</v>
      </c>
      <c r="H114" s="8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</row>
    <row r="115" spans="1:29" ht="15.75">
      <c r="A115" s="102" t="s">
        <v>437</v>
      </c>
      <c r="B115" s="117"/>
      <c r="C115" s="8" t="s">
        <v>409</v>
      </c>
      <c r="D115" s="8" t="s">
        <v>410</v>
      </c>
      <c r="E115" s="98" t="s">
        <v>411</v>
      </c>
      <c r="F115" s="99" t="s">
        <v>362</v>
      </c>
      <c r="G115" s="100" t="s">
        <v>362</v>
      </c>
      <c r="H115" s="8" t="s">
        <v>438</v>
      </c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</row>
    <row r="116" spans="1:29" ht="15.75">
      <c r="A116" s="102" t="s">
        <v>437</v>
      </c>
      <c r="B116" s="117"/>
      <c r="C116" s="8" t="s">
        <v>409</v>
      </c>
      <c r="D116" s="8" t="s">
        <v>314</v>
      </c>
      <c r="E116" s="98" t="s">
        <v>412</v>
      </c>
      <c r="F116" s="99" t="s">
        <v>362</v>
      </c>
      <c r="G116" s="100" t="s">
        <v>362</v>
      </c>
      <c r="H116" s="8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</row>
    <row r="117" spans="1:29" ht="15.75">
      <c r="A117" s="102" t="s">
        <v>324</v>
      </c>
      <c r="B117" s="117"/>
      <c r="C117" s="8" t="s">
        <v>409</v>
      </c>
      <c r="D117" s="8" t="s">
        <v>410</v>
      </c>
      <c r="E117" s="98" t="s">
        <v>411</v>
      </c>
      <c r="F117" s="99">
        <v>340</v>
      </c>
      <c r="G117" s="100">
        <v>200</v>
      </c>
      <c r="H117" s="8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</row>
    <row r="118" spans="1:29" ht="15.75">
      <c r="A118" s="102" t="s">
        <v>439</v>
      </c>
      <c r="B118" s="117"/>
      <c r="C118" s="8" t="s">
        <v>409</v>
      </c>
      <c r="D118" s="8" t="s">
        <v>410</v>
      </c>
      <c r="E118" s="98" t="s">
        <v>411</v>
      </c>
      <c r="F118" s="99" t="s">
        <v>362</v>
      </c>
      <c r="G118" s="100" t="s">
        <v>362</v>
      </c>
      <c r="H118" s="8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</row>
    <row r="119" spans="1:29" ht="15.75">
      <c r="A119" s="102" t="s">
        <v>439</v>
      </c>
      <c r="B119" s="117"/>
      <c r="C119" s="8" t="s">
        <v>409</v>
      </c>
      <c r="D119" s="8" t="s">
        <v>314</v>
      </c>
      <c r="E119" s="98" t="s">
        <v>412</v>
      </c>
      <c r="F119" s="99" t="s">
        <v>362</v>
      </c>
      <c r="G119" s="100" t="s">
        <v>362</v>
      </c>
      <c r="H119" s="8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</row>
    <row r="120" spans="1:29" ht="15.75">
      <c r="A120" s="102" t="s">
        <v>325</v>
      </c>
      <c r="B120" s="117"/>
      <c r="C120" s="8" t="s">
        <v>409</v>
      </c>
      <c r="D120" s="8" t="s">
        <v>410</v>
      </c>
      <c r="E120" s="98" t="s">
        <v>411</v>
      </c>
      <c r="F120" s="99">
        <v>500</v>
      </c>
      <c r="G120" s="100">
        <v>1250</v>
      </c>
      <c r="H120" s="8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</row>
    <row r="121" spans="1:29" ht="31.5">
      <c r="A121" s="102" t="s">
        <v>325</v>
      </c>
      <c r="B121" s="117"/>
      <c r="C121" s="8" t="s">
        <v>409</v>
      </c>
      <c r="D121" s="118" t="s">
        <v>314</v>
      </c>
      <c r="E121" s="119" t="s">
        <v>412</v>
      </c>
      <c r="F121" s="120">
        <v>57</v>
      </c>
      <c r="G121" s="121">
        <v>370.5</v>
      </c>
      <c r="H121" s="8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</row>
    <row r="122" spans="1:29" ht="15.75">
      <c r="A122" s="102" t="s">
        <v>326</v>
      </c>
      <c r="B122" s="117"/>
      <c r="C122" s="8" t="s">
        <v>409</v>
      </c>
      <c r="D122" s="8" t="s">
        <v>410</v>
      </c>
      <c r="E122" s="98" t="s">
        <v>411</v>
      </c>
      <c r="F122" s="99">
        <v>107</v>
      </c>
      <c r="G122" s="100">
        <v>300</v>
      </c>
      <c r="H122" s="8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</row>
    <row r="123" spans="1:29" ht="15.75">
      <c r="A123" s="102" t="s">
        <v>327</v>
      </c>
      <c r="B123" s="117"/>
      <c r="C123" s="8" t="s">
        <v>409</v>
      </c>
      <c r="D123" s="8" t="s">
        <v>410</v>
      </c>
      <c r="E123" s="98" t="s">
        <v>411</v>
      </c>
      <c r="F123" s="99">
        <v>144</v>
      </c>
      <c r="G123" s="100">
        <v>144</v>
      </c>
      <c r="H123" s="8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</row>
    <row r="124" spans="1:29" ht="15.75">
      <c r="A124" s="102" t="s">
        <v>440</v>
      </c>
      <c r="B124" s="117"/>
      <c r="C124" s="8" t="s">
        <v>409</v>
      </c>
      <c r="D124" s="8" t="s">
        <v>410</v>
      </c>
      <c r="E124" s="98" t="s">
        <v>411</v>
      </c>
      <c r="F124" s="99" t="s">
        <v>362</v>
      </c>
      <c r="G124" s="100" t="s">
        <v>362</v>
      </c>
      <c r="H124" s="8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</row>
    <row r="125" spans="1:29" ht="15.75">
      <c r="A125" s="102" t="s">
        <v>440</v>
      </c>
      <c r="B125" s="117"/>
      <c r="C125" s="8" t="s">
        <v>409</v>
      </c>
      <c r="D125" s="8" t="s">
        <v>314</v>
      </c>
      <c r="E125" s="98" t="s">
        <v>412</v>
      </c>
      <c r="F125" s="99" t="s">
        <v>362</v>
      </c>
      <c r="G125" s="100" t="s">
        <v>362</v>
      </c>
      <c r="H125" s="8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</row>
    <row r="126" spans="1:29" ht="15.75">
      <c r="A126" s="102" t="s">
        <v>441</v>
      </c>
      <c r="B126" s="117"/>
      <c r="C126" s="8" t="s">
        <v>409</v>
      </c>
      <c r="D126" s="8" t="s">
        <v>410</v>
      </c>
      <c r="E126" s="98" t="s">
        <v>411</v>
      </c>
      <c r="F126" s="99" t="s">
        <v>362</v>
      </c>
      <c r="G126" s="100">
        <v>160</v>
      </c>
      <c r="H126" s="8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</row>
    <row r="127" spans="1:29" ht="15.75">
      <c r="A127" s="102" t="s">
        <v>328</v>
      </c>
      <c r="B127" s="117"/>
      <c r="C127" s="8" t="s">
        <v>409</v>
      </c>
      <c r="D127" s="8" t="s">
        <v>410</v>
      </c>
      <c r="E127" s="98" t="s">
        <v>411</v>
      </c>
      <c r="F127" s="99">
        <v>224</v>
      </c>
      <c r="G127" s="100">
        <v>315</v>
      </c>
      <c r="H127" s="8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</row>
    <row r="128" spans="1:29" ht="15.75">
      <c r="A128" s="102" t="s">
        <v>328</v>
      </c>
      <c r="B128" s="117"/>
      <c r="C128" s="8" t="s">
        <v>409</v>
      </c>
      <c r="D128" s="8" t="s">
        <v>314</v>
      </c>
      <c r="E128" s="98" t="s">
        <v>412</v>
      </c>
      <c r="F128" s="99">
        <v>16</v>
      </c>
      <c r="G128" s="100">
        <v>76</v>
      </c>
      <c r="H128" s="8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</row>
    <row r="129" spans="1:29" ht="15.75">
      <c r="A129" s="102" t="s">
        <v>329</v>
      </c>
      <c r="B129" s="117"/>
      <c r="C129" s="8" t="s">
        <v>409</v>
      </c>
      <c r="D129" s="8" t="s">
        <v>410</v>
      </c>
      <c r="E129" s="98" t="s">
        <v>411</v>
      </c>
      <c r="F129" s="99">
        <v>290</v>
      </c>
      <c r="G129" s="100">
        <v>290</v>
      </c>
      <c r="H129" s="8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</row>
    <row r="130" spans="1:29" ht="15.75">
      <c r="A130" s="102" t="s">
        <v>329</v>
      </c>
      <c r="B130" s="117"/>
      <c r="C130" s="8" t="s">
        <v>409</v>
      </c>
      <c r="D130" s="8" t="s">
        <v>314</v>
      </c>
      <c r="E130" s="98" t="s">
        <v>412</v>
      </c>
      <c r="F130" s="99">
        <v>9</v>
      </c>
      <c r="G130" s="100">
        <v>9</v>
      </c>
      <c r="H130" s="8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</row>
    <row r="131" spans="1:29" ht="15.75">
      <c r="A131" s="102" t="s">
        <v>442</v>
      </c>
      <c r="B131" s="117"/>
      <c r="C131" s="8" t="s">
        <v>409</v>
      </c>
      <c r="D131" s="8" t="s">
        <v>410</v>
      </c>
      <c r="E131" s="98" t="s">
        <v>411</v>
      </c>
      <c r="F131" s="99" t="s">
        <v>362</v>
      </c>
      <c r="G131" s="100" t="s">
        <v>362</v>
      </c>
      <c r="H131" s="8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</row>
    <row r="132" spans="1:29" ht="15.75">
      <c r="A132" s="102" t="s">
        <v>442</v>
      </c>
      <c r="B132" s="117"/>
      <c r="C132" s="8" t="s">
        <v>409</v>
      </c>
      <c r="D132" s="8" t="s">
        <v>314</v>
      </c>
      <c r="E132" s="98" t="s">
        <v>412</v>
      </c>
      <c r="F132" s="99" t="s">
        <v>362</v>
      </c>
      <c r="G132" s="100" t="s">
        <v>362</v>
      </c>
      <c r="H132" s="8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</row>
    <row r="133" spans="1:29" ht="15.75">
      <c r="A133" s="102" t="s">
        <v>330</v>
      </c>
      <c r="B133" s="117"/>
      <c r="C133" s="8" t="s">
        <v>409</v>
      </c>
      <c r="D133" s="8" t="s">
        <v>410</v>
      </c>
      <c r="E133" s="98" t="s">
        <v>411</v>
      </c>
      <c r="F133" s="99">
        <v>140</v>
      </c>
      <c r="G133" s="100">
        <v>400</v>
      </c>
      <c r="H133" s="113"/>
    </row>
    <row r="134" spans="1:29" ht="15.75">
      <c r="A134" s="102" t="s">
        <v>330</v>
      </c>
      <c r="B134" s="117"/>
      <c r="C134" s="8" t="s">
        <v>409</v>
      </c>
      <c r="D134" s="8" t="s">
        <v>314</v>
      </c>
      <c r="E134" s="98" t="s">
        <v>412</v>
      </c>
      <c r="F134" s="99">
        <v>4</v>
      </c>
      <c r="G134" s="100">
        <v>100</v>
      </c>
      <c r="H134" s="113"/>
    </row>
    <row r="135" spans="1:29" ht="15.75">
      <c r="A135" s="102" t="s">
        <v>331</v>
      </c>
      <c r="B135" s="117"/>
      <c r="C135" s="8" t="s">
        <v>409</v>
      </c>
      <c r="D135" s="8" t="s">
        <v>410</v>
      </c>
      <c r="E135" s="98" t="s">
        <v>411</v>
      </c>
      <c r="F135" s="99">
        <v>120</v>
      </c>
      <c r="G135" s="100">
        <v>120</v>
      </c>
      <c r="H135" s="8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</row>
    <row r="136" spans="1:29" ht="15.75">
      <c r="A136" s="102" t="s">
        <v>331</v>
      </c>
      <c r="B136" s="117"/>
      <c r="C136" s="8" t="s">
        <v>409</v>
      </c>
      <c r="D136" s="8" t="s">
        <v>314</v>
      </c>
      <c r="E136" s="98" t="s">
        <v>412</v>
      </c>
      <c r="F136" s="99">
        <v>13</v>
      </c>
      <c r="G136" s="100">
        <v>13</v>
      </c>
      <c r="H136" s="8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</row>
    <row r="137" spans="1:29" ht="15.75">
      <c r="A137" s="102" t="s">
        <v>332</v>
      </c>
      <c r="B137" s="117"/>
      <c r="C137" s="8" t="s">
        <v>409</v>
      </c>
      <c r="D137" s="8" t="s">
        <v>410</v>
      </c>
      <c r="E137" s="98" t="s">
        <v>411</v>
      </c>
      <c r="F137" s="99">
        <v>90</v>
      </c>
      <c r="G137" s="100">
        <v>120</v>
      </c>
      <c r="H137" s="8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</row>
    <row r="138" spans="1:29" ht="15.75">
      <c r="A138" s="102" t="s">
        <v>332</v>
      </c>
      <c r="B138" s="117"/>
      <c r="C138" s="8" t="s">
        <v>409</v>
      </c>
      <c r="D138" s="8" t="s">
        <v>314</v>
      </c>
      <c r="E138" s="98" t="s">
        <v>412</v>
      </c>
      <c r="F138" s="99">
        <v>4</v>
      </c>
      <c r="G138" s="100">
        <v>40</v>
      </c>
      <c r="H138" s="8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</row>
    <row r="139" spans="1:29" ht="15.75">
      <c r="A139" s="102" t="s">
        <v>443</v>
      </c>
      <c r="B139" s="117"/>
      <c r="C139" s="8" t="s">
        <v>409</v>
      </c>
      <c r="D139" s="8" t="s">
        <v>410</v>
      </c>
      <c r="E139" s="98" t="s">
        <v>411</v>
      </c>
      <c r="F139" s="99" t="s">
        <v>362</v>
      </c>
      <c r="G139" s="100" t="s">
        <v>362</v>
      </c>
      <c r="H139" s="122" t="s">
        <v>444</v>
      </c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</row>
    <row r="140" spans="1:29" ht="15.75">
      <c r="A140" s="102" t="s">
        <v>443</v>
      </c>
      <c r="B140" s="117"/>
      <c r="C140" s="8" t="s">
        <v>409</v>
      </c>
      <c r="D140" s="8" t="s">
        <v>314</v>
      </c>
      <c r="E140" s="98" t="s">
        <v>412</v>
      </c>
      <c r="F140" s="99" t="s">
        <v>362</v>
      </c>
      <c r="G140" s="100" t="s">
        <v>362</v>
      </c>
      <c r="H140" s="8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</row>
    <row r="141" spans="1:29" ht="15.75">
      <c r="A141" s="102" t="s">
        <v>333</v>
      </c>
      <c r="B141" s="117"/>
      <c r="C141" s="8" t="s">
        <v>409</v>
      </c>
      <c r="D141" s="8" t="s">
        <v>410</v>
      </c>
      <c r="E141" s="98" t="s">
        <v>411</v>
      </c>
      <c r="F141" s="99">
        <v>95</v>
      </c>
      <c r="G141" s="100">
        <v>95</v>
      </c>
      <c r="H141" s="8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</row>
    <row r="142" spans="1:29" ht="15.75">
      <c r="A142" s="102" t="s">
        <v>445</v>
      </c>
      <c r="B142" s="117"/>
      <c r="C142" s="8" t="s">
        <v>409</v>
      </c>
      <c r="D142" s="8" t="s">
        <v>410</v>
      </c>
      <c r="E142" s="98" t="s">
        <v>411</v>
      </c>
      <c r="F142" s="99" t="s">
        <v>362</v>
      </c>
      <c r="G142" s="100" t="s">
        <v>362</v>
      </c>
      <c r="H142" s="122" t="s">
        <v>446</v>
      </c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</row>
    <row r="143" spans="1:29" ht="15.75">
      <c r="A143" s="102" t="s">
        <v>445</v>
      </c>
      <c r="B143" s="117"/>
      <c r="C143" s="8" t="s">
        <v>409</v>
      </c>
      <c r="D143" s="8" t="s">
        <v>314</v>
      </c>
      <c r="E143" s="98" t="s">
        <v>412</v>
      </c>
      <c r="F143" s="99" t="s">
        <v>362</v>
      </c>
      <c r="G143" s="100" t="s">
        <v>362</v>
      </c>
      <c r="H143" s="8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</row>
    <row r="144" spans="1:29" ht="15.75">
      <c r="A144" s="102" t="s">
        <v>334</v>
      </c>
      <c r="B144" s="117"/>
      <c r="C144" s="8" t="s">
        <v>409</v>
      </c>
      <c r="D144" s="8" t="s">
        <v>410</v>
      </c>
      <c r="E144" s="98" t="s">
        <v>411</v>
      </c>
      <c r="F144" s="99">
        <v>680</v>
      </c>
      <c r="G144" s="100">
        <v>680</v>
      </c>
      <c r="H144" s="8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</row>
    <row r="145" spans="1:29" ht="15.75">
      <c r="A145" s="102" t="s">
        <v>334</v>
      </c>
      <c r="B145" s="117"/>
      <c r="C145" s="8" t="s">
        <v>409</v>
      </c>
      <c r="D145" s="8" t="s">
        <v>314</v>
      </c>
      <c r="E145" s="98" t="s">
        <v>412</v>
      </c>
      <c r="F145" s="99">
        <v>35</v>
      </c>
      <c r="G145" s="100">
        <v>35</v>
      </c>
      <c r="H145" s="8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</row>
    <row r="146" spans="1:29" ht="15.75">
      <c r="A146" s="102" t="s">
        <v>447</v>
      </c>
      <c r="B146" s="117"/>
      <c r="C146" s="8" t="s">
        <v>409</v>
      </c>
      <c r="D146" s="8" t="s">
        <v>410</v>
      </c>
      <c r="E146" s="98" t="s">
        <v>411</v>
      </c>
      <c r="F146" s="99">
        <v>73</v>
      </c>
      <c r="G146" s="100" t="s">
        <v>362</v>
      </c>
      <c r="H146" s="123" t="s">
        <v>448</v>
      </c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</row>
    <row r="147" spans="1:29" ht="15.75">
      <c r="A147" s="102" t="s">
        <v>449</v>
      </c>
      <c r="B147" s="117"/>
      <c r="C147" s="8" t="s">
        <v>409</v>
      </c>
      <c r="D147" s="8" t="s">
        <v>410</v>
      </c>
      <c r="E147" s="98" t="s">
        <v>411</v>
      </c>
      <c r="F147" s="99" t="s">
        <v>362</v>
      </c>
      <c r="G147" s="100">
        <v>400</v>
      </c>
      <c r="H147" s="122" t="s">
        <v>450</v>
      </c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</row>
    <row r="148" spans="1:29" ht="15.75">
      <c r="A148" s="102" t="s">
        <v>449</v>
      </c>
      <c r="B148" s="117"/>
      <c r="C148" s="8" t="s">
        <v>409</v>
      </c>
      <c r="D148" s="8" t="s">
        <v>314</v>
      </c>
      <c r="E148" s="98" t="s">
        <v>412</v>
      </c>
      <c r="F148" s="99" t="s">
        <v>362</v>
      </c>
      <c r="G148" s="100">
        <v>100</v>
      </c>
      <c r="H148" s="8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</row>
    <row r="149" spans="1:29" ht="15.75">
      <c r="A149" s="102" t="s">
        <v>451</v>
      </c>
      <c r="B149" s="117"/>
      <c r="C149" s="8" t="s">
        <v>409</v>
      </c>
      <c r="D149" s="8" t="s">
        <v>410</v>
      </c>
      <c r="E149" s="98" t="s">
        <v>411</v>
      </c>
      <c r="F149" s="99">
        <v>200</v>
      </c>
      <c r="G149" s="100" t="s">
        <v>362</v>
      </c>
      <c r="H149" s="8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</row>
    <row r="150" spans="1:29" ht="15.75">
      <c r="A150" s="102" t="s">
        <v>451</v>
      </c>
      <c r="B150" s="117"/>
      <c r="C150" s="8" t="s">
        <v>409</v>
      </c>
      <c r="D150" s="8" t="s">
        <v>314</v>
      </c>
      <c r="E150" s="98" t="s">
        <v>412</v>
      </c>
      <c r="F150" s="99">
        <v>27</v>
      </c>
      <c r="G150" s="100" t="s">
        <v>362</v>
      </c>
      <c r="H150" s="8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</row>
    <row r="151" spans="1:29" ht="15.75">
      <c r="A151" s="102" t="s">
        <v>335</v>
      </c>
      <c r="B151" s="117"/>
      <c r="C151" s="8" t="s">
        <v>409</v>
      </c>
      <c r="D151" s="8" t="s">
        <v>410</v>
      </c>
      <c r="E151" s="98" t="s">
        <v>411</v>
      </c>
      <c r="F151" s="99">
        <v>100</v>
      </c>
      <c r="G151" s="100">
        <v>100</v>
      </c>
      <c r="H151" s="8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</row>
    <row r="152" spans="1:29" ht="15.75">
      <c r="A152" s="102" t="s">
        <v>335</v>
      </c>
      <c r="B152" s="117"/>
      <c r="C152" s="8" t="s">
        <v>409</v>
      </c>
      <c r="D152" s="8" t="s">
        <v>314</v>
      </c>
      <c r="E152" s="98" t="s">
        <v>412</v>
      </c>
      <c r="F152" s="99">
        <v>18</v>
      </c>
      <c r="G152" s="100">
        <v>18</v>
      </c>
      <c r="H152" s="8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</row>
    <row r="153" spans="1:29" ht="15.75">
      <c r="A153" s="102" t="s">
        <v>336</v>
      </c>
      <c r="B153" s="117"/>
      <c r="C153" s="8" t="s">
        <v>409</v>
      </c>
      <c r="D153" s="8" t="s">
        <v>410</v>
      </c>
      <c r="E153" s="98" t="s">
        <v>411</v>
      </c>
      <c r="F153" s="99">
        <v>204</v>
      </c>
      <c r="G153" s="100">
        <v>204</v>
      </c>
      <c r="H153" s="8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</row>
    <row r="154" spans="1:29" ht="15.75">
      <c r="A154" s="102" t="s">
        <v>336</v>
      </c>
      <c r="B154" s="117"/>
      <c r="C154" s="8" t="s">
        <v>409</v>
      </c>
      <c r="D154" s="8" t="s">
        <v>314</v>
      </c>
      <c r="E154" s="98" t="s">
        <v>412</v>
      </c>
      <c r="F154" s="99">
        <v>10</v>
      </c>
      <c r="G154" s="100">
        <v>10</v>
      </c>
      <c r="H154" s="8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</row>
    <row r="155" spans="1:29" ht="15.75">
      <c r="A155" s="102" t="s">
        <v>452</v>
      </c>
      <c r="B155" s="117"/>
      <c r="C155" s="8" t="s">
        <v>409</v>
      </c>
      <c r="D155" s="8" t="s">
        <v>410</v>
      </c>
      <c r="E155" s="98" t="s">
        <v>411</v>
      </c>
      <c r="F155" s="99" t="s">
        <v>362</v>
      </c>
      <c r="G155" s="100" t="s">
        <v>362</v>
      </c>
      <c r="H155" s="122" t="s">
        <v>444</v>
      </c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</row>
    <row r="156" spans="1:29" ht="15.75">
      <c r="A156" s="102" t="s">
        <v>452</v>
      </c>
      <c r="B156" s="117"/>
      <c r="C156" s="8" t="s">
        <v>409</v>
      </c>
      <c r="D156" s="8" t="s">
        <v>314</v>
      </c>
      <c r="E156" s="98" t="s">
        <v>412</v>
      </c>
      <c r="F156" s="99" t="s">
        <v>362</v>
      </c>
      <c r="G156" s="100" t="s">
        <v>362</v>
      </c>
      <c r="H156" s="8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</row>
    <row r="157" spans="1:29" ht="15.75">
      <c r="A157" s="102" t="s">
        <v>337</v>
      </c>
      <c r="B157" s="117"/>
      <c r="C157" s="8" t="s">
        <v>409</v>
      </c>
      <c r="D157" s="8" t="s">
        <v>410</v>
      </c>
      <c r="E157" s="98" t="s">
        <v>411</v>
      </c>
      <c r="F157" s="99">
        <v>189</v>
      </c>
      <c r="G157" s="100">
        <v>267</v>
      </c>
      <c r="H157" s="8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</row>
    <row r="158" spans="1:29" ht="15.75">
      <c r="A158" s="102" t="s">
        <v>337</v>
      </c>
      <c r="B158" s="117"/>
      <c r="C158" s="8" t="s">
        <v>409</v>
      </c>
      <c r="D158" s="8" t="s">
        <v>314</v>
      </c>
      <c r="E158" s="98" t="s">
        <v>412</v>
      </c>
      <c r="F158" s="99">
        <v>16</v>
      </c>
      <c r="G158" s="100">
        <v>97.5</v>
      </c>
      <c r="H158" s="8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</row>
    <row r="159" spans="1:29" ht="15.75">
      <c r="A159" s="102" t="s">
        <v>453</v>
      </c>
      <c r="B159" s="117"/>
      <c r="C159" s="8" t="s">
        <v>409</v>
      </c>
      <c r="D159" s="8" t="s">
        <v>410</v>
      </c>
      <c r="E159" s="98" t="s">
        <v>411</v>
      </c>
      <c r="F159" s="99" t="s">
        <v>362</v>
      </c>
      <c r="G159" s="100" t="s">
        <v>362</v>
      </c>
      <c r="H159" s="8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</row>
    <row r="160" spans="1:29" ht="15.75">
      <c r="A160" s="102" t="s">
        <v>453</v>
      </c>
      <c r="B160" s="117"/>
      <c r="C160" s="8" t="s">
        <v>409</v>
      </c>
      <c r="D160" s="8" t="s">
        <v>314</v>
      </c>
      <c r="E160" s="98" t="s">
        <v>412</v>
      </c>
      <c r="F160" s="99" t="s">
        <v>362</v>
      </c>
      <c r="G160" s="100" t="s">
        <v>362</v>
      </c>
      <c r="H160" s="122" t="s">
        <v>444</v>
      </c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</row>
    <row r="161" spans="1:29" ht="15.75">
      <c r="A161" s="102" t="s">
        <v>338</v>
      </c>
      <c r="B161" s="117"/>
      <c r="C161" s="8" t="s">
        <v>409</v>
      </c>
      <c r="D161" s="8" t="s">
        <v>410</v>
      </c>
      <c r="E161" s="98" t="s">
        <v>411</v>
      </c>
      <c r="F161" s="99">
        <v>280</v>
      </c>
      <c r="G161" s="100">
        <v>700</v>
      </c>
      <c r="H161" s="8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</row>
    <row r="162" spans="1:29" ht="15.75">
      <c r="A162" s="102" t="s">
        <v>338</v>
      </c>
      <c r="B162" s="117"/>
      <c r="C162" s="8" t="s">
        <v>409</v>
      </c>
      <c r="D162" s="8" t="s">
        <v>314</v>
      </c>
      <c r="E162" s="98" t="s">
        <v>412</v>
      </c>
      <c r="F162" s="99">
        <v>31</v>
      </c>
      <c r="G162" s="100">
        <v>201.5</v>
      </c>
      <c r="H162" s="8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</row>
    <row r="163" spans="1:29" ht="15.75">
      <c r="A163" s="102" t="s">
        <v>454</v>
      </c>
      <c r="B163" s="117"/>
      <c r="C163" s="8" t="s">
        <v>409</v>
      </c>
      <c r="D163" s="8" t="s">
        <v>410</v>
      </c>
      <c r="E163" s="98" t="s">
        <v>411</v>
      </c>
      <c r="F163" s="99" t="s">
        <v>362</v>
      </c>
      <c r="G163" s="100" t="s">
        <v>362</v>
      </c>
      <c r="H163" s="122" t="s">
        <v>444</v>
      </c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</row>
    <row r="164" spans="1:29" ht="15.75">
      <c r="A164" s="102" t="s">
        <v>454</v>
      </c>
      <c r="B164" s="117"/>
      <c r="C164" s="8" t="s">
        <v>409</v>
      </c>
      <c r="D164" s="8" t="s">
        <v>314</v>
      </c>
      <c r="E164" s="98" t="s">
        <v>412</v>
      </c>
      <c r="F164" s="99" t="s">
        <v>362</v>
      </c>
      <c r="G164" s="100" t="s">
        <v>362</v>
      </c>
      <c r="H164" s="8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</row>
    <row r="165" spans="1:29" ht="15.75">
      <c r="A165" s="102" t="s">
        <v>455</v>
      </c>
      <c r="B165" s="117"/>
      <c r="C165" s="8" t="s">
        <v>409</v>
      </c>
      <c r="D165" s="8" t="s">
        <v>410</v>
      </c>
      <c r="E165" s="98" t="s">
        <v>411</v>
      </c>
      <c r="F165" s="99" t="s">
        <v>362</v>
      </c>
      <c r="G165" s="100">
        <v>250</v>
      </c>
      <c r="H165" s="8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</row>
    <row r="166" spans="1:29" ht="15.75">
      <c r="A166" s="102" t="s">
        <v>455</v>
      </c>
      <c r="B166" s="117"/>
      <c r="C166" s="8" t="s">
        <v>409</v>
      </c>
      <c r="D166" s="8" t="s">
        <v>314</v>
      </c>
      <c r="E166" s="98" t="s">
        <v>412</v>
      </c>
      <c r="F166" s="99" t="s">
        <v>362</v>
      </c>
      <c r="G166" s="100">
        <v>200</v>
      </c>
      <c r="H166" s="8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</row>
    <row r="167" spans="1:29" ht="15.75">
      <c r="A167" s="102" t="s">
        <v>456</v>
      </c>
      <c r="B167" s="117"/>
      <c r="C167" s="8" t="s">
        <v>409</v>
      </c>
      <c r="D167" s="8" t="s">
        <v>410</v>
      </c>
      <c r="E167" s="98" t="s">
        <v>411</v>
      </c>
      <c r="F167" s="99" t="s">
        <v>362</v>
      </c>
      <c r="G167" s="100" t="s">
        <v>362</v>
      </c>
      <c r="H167" s="122" t="s">
        <v>444</v>
      </c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</row>
    <row r="168" spans="1:29" ht="15.75">
      <c r="A168" s="102" t="s">
        <v>456</v>
      </c>
      <c r="B168" s="117"/>
      <c r="C168" s="8" t="s">
        <v>409</v>
      </c>
      <c r="D168" s="8" t="s">
        <v>314</v>
      </c>
      <c r="E168" s="98" t="s">
        <v>412</v>
      </c>
      <c r="F168" s="99" t="s">
        <v>362</v>
      </c>
      <c r="G168" s="100" t="s">
        <v>362</v>
      </c>
      <c r="H168" s="8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</row>
    <row r="169" spans="1:29" ht="15.75">
      <c r="A169" s="102" t="s">
        <v>339</v>
      </c>
      <c r="B169" s="117"/>
      <c r="C169" s="8" t="s">
        <v>409</v>
      </c>
      <c r="D169" s="8" t="s">
        <v>410</v>
      </c>
      <c r="E169" s="98" t="s">
        <v>411</v>
      </c>
      <c r="F169" s="99">
        <v>2672</v>
      </c>
      <c r="G169" s="100">
        <v>6680</v>
      </c>
      <c r="H169" s="122" t="s">
        <v>450</v>
      </c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</row>
    <row r="170" spans="1:29" ht="15.75">
      <c r="A170" s="102" t="s">
        <v>339</v>
      </c>
      <c r="B170" s="117"/>
      <c r="C170" s="8" t="s">
        <v>409</v>
      </c>
      <c r="D170" s="8" t="s">
        <v>314</v>
      </c>
      <c r="E170" s="98" t="s">
        <v>412</v>
      </c>
      <c r="F170" s="99">
        <v>570</v>
      </c>
      <c r="G170" s="100">
        <v>2855</v>
      </c>
      <c r="H170" s="8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</row>
    <row r="171" spans="1:29" ht="15.75">
      <c r="A171" s="102" t="s">
        <v>340</v>
      </c>
      <c r="B171" s="117"/>
      <c r="C171" s="8" t="s">
        <v>409</v>
      </c>
      <c r="D171" s="8" t="s">
        <v>410</v>
      </c>
      <c r="E171" s="98" t="s">
        <v>411</v>
      </c>
      <c r="F171" s="99">
        <v>300</v>
      </c>
      <c r="G171" s="100">
        <v>300</v>
      </c>
      <c r="H171" s="8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</row>
    <row r="172" spans="1:29" ht="15.75">
      <c r="A172" s="102" t="s">
        <v>340</v>
      </c>
      <c r="B172" s="117"/>
      <c r="C172" s="8" t="s">
        <v>409</v>
      </c>
      <c r="D172" s="8" t="s">
        <v>314</v>
      </c>
      <c r="E172" s="98" t="s">
        <v>412</v>
      </c>
      <c r="F172" s="99">
        <v>90</v>
      </c>
      <c r="G172" s="100">
        <v>27</v>
      </c>
      <c r="H172" s="8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</row>
    <row r="173" spans="1:29" ht="15.75">
      <c r="A173" s="102" t="s">
        <v>457</v>
      </c>
      <c r="B173" s="117"/>
      <c r="C173" s="8" t="s">
        <v>409</v>
      </c>
      <c r="D173" s="8" t="s">
        <v>410</v>
      </c>
      <c r="E173" s="98" t="s">
        <v>411</v>
      </c>
      <c r="F173" s="99" t="s">
        <v>362</v>
      </c>
      <c r="G173" s="100">
        <v>6925</v>
      </c>
      <c r="H173" s="122" t="s">
        <v>458</v>
      </c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</row>
    <row r="174" spans="1:29" ht="15.75">
      <c r="A174" s="102" t="s">
        <v>457</v>
      </c>
      <c r="B174" s="117"/>
      <c r="C174" s="8" t="s">
        <v>409</v>
      </c>
      <c r="D174" s="8" t="s">
        <v>314</v>
      </c>
      <c r="E174" s="98" t="s">
        <v>412</v>
      </c>
      <c r="F174" s="99" t="s">
        <v>362</v>
      </c>
      <c r="G174" s="100">
        <v>2785</v>
      </c>
      <c r="H174" s="8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</row>
    <row r="175" spans="1:29" ht="15.75">
      <c r="A175" s="102" t="s">
        <v>459</v>
      </c>
      <c r="B175" s="117"/>
      <c r="C175" s="8" t="s">
        <v>409</v>
      </c>
      <c r="D175" s="8" t="s">
        <v>410</v>
      </c>
      <c r="E175" s="98" t="s">
        <v>411</v>
      </c>
      <c r="F175" s="99" t="s">
        <v>362</v>
      </c>
      <c r="G175" s="100">
        <v>3182.5</v>
      </c>
      <c r="H175" s="8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</row>
    <row r="176" spans="1:29" ht="15.75">
      <c r="A176" s="102" t="s">
        <v>459</v>
      </c>
      <c r="B176" s="117"/>
      <c r="C176" s="8" t="s">
        <v>409</v>
      </c>
      <c r="D176" s="8" t="s">
        <v>314</v>
      </c>
      <c r="E176" s="98" t="s">
        <v>412</v>
      </c>
      <c r="F176" s="99" t="s">
        <v>362</v>
      </c>
      <c r="G176" s="100">
        <v>1625</v>
      </c>
      <c r="H176" s="8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</row>
    <row r="177" spans="1:29" ht="15.75">
      <c r="A177" s="102" t="s">
        <v>460</v>
      </c>
      <c r="B177" s="117"/>
      <c r="C177" s="8" t="s">
        <v>409</v>
      </c>
      <c r="D177" s="8" t="s">
        <v>410</v>
      </c>
      <c r="E177" s="98" t="s">
        <v>411</v>
      </c>
      <c r="F177" s="99" t="s">
        <v>362</v>
      </c>
      <c r="G177" s="100">
        <v>6892</v>
      </c>
      <c r="H177" s="8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</row>
    <row r="178" spans="1:29" ht="15.75">
      <c r="A178" s="102" t="s">
        <v>460</v>
      </c>
      <c r="B178" s="117"/>
      <c r="C178" s="8" t="s">
        <v>409</v>
      </c>
      <c r="D178" s="8" t="s">
        <v>314</v>
      </c>
      <c r="E178" s="98" t="s">
        <v>412</v>
      </c>
      <c r="F178" s="99" t="s">
        <v>362</v>
      </c>
      <c r="G178" s="100">
        <v>3025</v>
      </c>
      <c r="H178" s="8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</row>
    <row r="179" spans="1:29" ht="15.75">
      <c r="A179" s="102" t="s">
        <v>341</v>
      </c>
      <c r="B179" s="117"/>
      <c r="C179" s="8" t="s">
        <v>409</v>
      </c>
      <c r="D179" s="124" t="s">
        <v>410</v>
      </c>
      <c r="E179" s="98" t="s">
        <v>411</v>
      </c>
      <c r="F179" s="99">
        <v>230</v>
      </c>
      <c r="G179" s="100">
        <v>230</v>
      </c>
      <c r="H179" s="122" t="s">
        <v>461</v>
      </c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</row>
    <row r="180" spans="1:29" ht="15.75">
      <c r="A180" s="102" t="s">
        <v>341</v>
      </c>
      <c r="B180" s="117"/>
      <c r="C180" s="8" t="s">
        <v>409</v>
      </c>
      <c r="D180" s="8" t="s">
        <v>314</v>
      </c>
      <c r="E180" s="98" t="s">
        <v>412</v>
      </c>
      <c r="F180" s="99">
        <v>100</v>
      </c>
      <c r="G180" s="100">
        <v>30</v>
      </c>
      <c r="H180" s="8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</row>
    <row r="181" spans="1:29" ht="15.75">
      <c r="A181" s="2"/>
      <c r="B181" s="106"/>
      <c r="C181" s="2"/>
      <c r="D181" s="2"/>
      <c r="E181" s="4"/>
      <c r="F181" s="5"/>
      <c r="G181" s="6"/>
      <c r="H181" s="2"/>
    </row>
    <row r="182" spans="1:29" ht="15.75">
      <c r="A182" s="125" t="s">
        <v>462</v>
      </c>
      <c r="B182" s="126"/>
      <c r="C182" s="125"/>
      <c r="D182" s="125"/>
      <c r="E182" s="127"/>
      <c r="F182" s="128"/>
      <c r="G182" s="129"/>
      <c r="H182" s="125"/>
    </row>
    <row r="183" spans="1:29" ht="15.75">
      <c r="A183" s="2"/>
      <c r="B183" s="106"/>
      <c r="C183" s="2"/>
      <c r="D183" s="2"/>
      <c r="E183" s="4"/>
      <c r="F183" s="5"/>
      <c r="G183" s="6"/>
      <c r="H183" s="2"/>
    </row>
    <row r="184" spans="1:29" ht="15.75">
      <c r="A184" s="130" t="s">
        <v>463</v>
      </c>
      <c r="B184" s="131"/>
      <c r="C184" s="132" t="s">
        <v>200</v>
      </c>
      <c r="D184" s="130" t="s">
        <v>464</v>
      </c>
      <c r="E184" s="131"/>
      <c r="F184" s="130">
        <v>343</v>
      </c>
      <c r="G184" s="133">
        <v>857.5</v>
      </c>
      <c r="H184" s="134" t="s">
        <v>465</v>
      </c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</row>
    <row r="185" spans="1:29" ht="15.75">
      <c r="A185" s="130" t="s">
        <v>463</v>
      </c>
      <c r="B185" s="131"/>
      <c r="C185" s="130" t="s">
        <v>200</v>
      </c>
      <c r="D185" s="130" t="s">
        <v>466</v>
      </c>
      <c r="E185" s="131"/>
      <c r="F185" s="130">
        <v>360</v>
      </c>
      <c r="G185" s="133">
        <v>900</v>
      </c>
      <c r="H185" s="135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</row>
    <row r="186" spans="1:29" ht="15.75">
      <c r="A186" s="136" t="s">
        <v>467</v>
      </c>
      <c r="B186" s="137"/>
      <c r="C186" s="136" t="s">
        <v>200</v>
      </c>
      <c r="D186" s="136" t="s">
        <v>468</v>
      </c>
      <c r="E186" s="137"/>
      <c r="F186" s="136">
        <v>20</v>
      </c>
      <c r="G186" s="138">
        <v>25</v>
      </c>
      <c r="H186" s="139" t="s">
        <v>420</v>
      </c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</row>
    <row r="187" spans="1:29" ht="15.75">
      <c r="A187" s="140" t="s">
        <v>469</v>
      </c>
      <c r="B187" s="141"/>
      <c r="C187" s="140" t="s">
        <v>200</v>
      </c>
      <c r="D187" s="140" t="s">
        <v>468</v>
      </c>
      <c r="E187" s="141"/>
      <c r="F187" s="140">
        <v>80</v>
      </c>
      <c r="G187" s="142">
        <v>100</v>
      </c>
      <c r="H187" s="139" t="s">
        <v>420</v>
      </c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</row>
    <row r="188" spans="1:29" ht="15.75">
      <c r="A188" s="140" t="s">
        <v>469</v>
      </c>
      <c r="B188" s="141"/>
      <c r="C188" s="140" t="s">
        <v>200</v>
      </c>
      <c r="D188" s="140" t="s">
        <v>466</v>
      </c>
      <c r="E188" s="141"/>
      <c r="F188" s="140">
        <v>31</v>
      </c>
      <c r="G188" s="142">
        <v>15</v>
      </c>
      <c r="H188" s="139" t="s">
        <v>420</v>
      </c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</row>
    <row r="189" spans="1:29" ht="15.75">
      <c r="A189" s="143" t="s">
        <v>470</v>
      </c>
      <c r="B189" s="144"/>
      <c r="C189" s="143" t="s">
        <v>200</v>
      </c>
      <c r="D189" s="143" t="s">
        <v>468</v>
      </c>
      <c r="E189" s="144"/>
      <c r="F189" s="143">
        <v>40</v>
      </c>
      <c r="G189" s="145">
        <v>20</v>
      </c>
      <c r="H189" s="139" t="s">
        <v>471</v>
      </c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</row>
    <row r="190" spans="1:29" ht="15.75">
      <c r="A190" s="146" t="s">
        <v>472</v>
      </c>
      <c r="B190" s="147"/>
      <c r="C190" s="146" t="s">
        <v>200</v>
      </c>
      <c r="D190" s="148" t="s">
        <v>468</v>
      </c>
      <c r="E190" s="147"/>
      <c r="F190" s="148">
        <v>61</v>
      </c>
      <c r="G190" s="149">
        <v>37</v>
      </c>
      <c r="H190" s="135" t="s">
        <v>473</v>
      </c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</row>
    <row r="191" spans="1:29" ht="15.75">
      <c r="A191" s="146" t="s">
        <v>472</v>
      </c>
      <c r="B191" s="147"/>
      <c r="C191" s="146" t="s">
        <v>200</v>
      </c>
      <c r="D191" s="148" t="s">
        <v>474</v>
      </c>
      <c r="E191" s="147"/>
      <c r="F191" s="148">
        <v>20</v>
      </c>
      <c r="G191" s="149" t="s">
        <v>362</v>
      </c>
      <c r="H191" s="135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</row>
    <row r="192" spans="1:29" ht="15.75">
      <c r="A192" s="136" t="s">
        <v>475</v>
      </c>
      <c r="B192" s="137"/>
      <c r="C192" s="136" t="s">
        <v>200</v>
      </c>
      <c r="D192" s="136" t="s">
        <v>464</v>
      </c>
      <c r="E192" s="137"/>
      <c r="F192" s="136">
        <v>70</v>
      </c>
      <c r="G192" s="138">
        <v>122.5</v>
      </c>
      <c r="H192" s="135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</row>
    <row r="193" spans="1:29" ht="15.75">
      <c r="A193" s="150" t="s">
        <v>476</v>
      </c>
      <c r="B193" s="151"/>
      <c r="C193" s="150" t="s">
        <v>200</v>
      </c>
      <c r="D193" s="150" t="s">
        <v>468</v>
      </c>
      <c r="E193" s="151"/>
      <c r="F193" s="150">
        <v>39</v>
      </c>
      <c r="G193" s="152">
        <v>30</v>
      </c>
      <c r="H193" s="135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</row>
    <row r="194" spans="1:29" ht="15.75">
      <c r="A194" s="150" t="s">
        <v>476</v>
      </c>
      <c r="B194" s="151"/>
      <c r="C194" s="150" t="s">
        <v>200</v>
      </c>
      <c r="D194" s="150" t="s">
        <v>474</v>
      </c>
      <c r="E194" s="151"/>
      <c r="F194" s="150">
        <v>40</v>
      </c>
      <c r="G194" s="152">
        <v>30</v>
      </c>
      <c r="H194" s="135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</row>
    <row r="195" spans="1:29" ht="15.75">
      <c r="A195" s="153" t="s">
        <v>477</v>
      </c>
      <c r="B195" s="154"/>
      <c r="C195" s="153" t="s">
        <v>200</v>
      </c>
      <c r="D195" s="155" t="s">
        <v>468</v>
      </c>
      <c r="E195" s="154"/>
      <c r="F195" s="155">
        <v>38</v>
      </c>
      <c r="G195" s="156" t="s">
        <v>362</v>
      </c>
      <c r="H195" s="135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</row>
    <row r="196" spans="1:29" ht="15.75">
      <c r="A196" s="136" t="s">
        <v>478</v>
      </c>
      <c r="B196" s="137"/>
      <c r="C196" s="136" t="s">
        <v>200</v>
      </c>
      <c r="D196" s="136" t="s">
        <v>479</v>
      </c>
      <c r="E196" s="137"/>
      <c r="F196" s="136">
        <v>32</v>
      </c>
      <c r="G196" s="138">
        <v>0</v>
      </c>
      <c r="H196" s="139" t="s">
        <v>420</v>
      </c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</row>
    <row r="197" spans="1:29" ht="15.75">
      <c r="A197" s="136" t="s">
        <v>478</v>
      </c>
      <c r="B197" s="137"/>
      <c r="C197" s="136" t="s">
        <v>200</v>
      </c>
      <c r="D197" s="136" t="s">
        <v>466</v>
      </c>
      <c r="E197" s="137"/>
      <c r="F197" s="136">
        <v>90</v>
      </c>
      <c r="G197" s="138">
        <v>0</v>
      </c>
      <c r="H197" s="139" t="s">
        <v>420</v>
      </c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</row>
    <row r="198" spans="1:29" ht="15.75">
      <c r="A198" s="130" t="s">
        <v>480</v>
      </c>
      <c r="B198" s="131"/>
      <c r="C198" s="130" t="s">
        <v>200</v>
      </c>
      <c r="D198" s="130" t="s">
        <v>481</v>
      </c>
      <c r="E198" s="131"/>
      <c r="F198" s="130" t="s">
        <v>362</v>
      </c>
      <c r="G198" s="133" t="s">
        <v>362</v>
      </c>
      <c r="H198" s="139" t="s">
        <v>482</v>
      </c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</row>
    <row r="199" spans="1:29" ht="15.75">
      <c r="A199" s="140" t="s">
        <v>483</v>
      </c>
      <c r="B199" s="141"/>
      <c r="C199" s="140" t="s">
        <v>200</v>
      </c>
      <c r="D199" s="140" t="s">
        <v>464</v>
      </c>
      <c r="E199" s="141"/>
      <c r="F199" s="140">
        <v>255</v>
      </c>
      <c r="G199" s="142">
        <v>637.5</v>
      </c>
      <c r="H199" s="157" t="s">
        <v>484</v>
      </c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</row>
    <row r="200" spans="1:29" ht="15.75">
      <c r="A200" s="140" t="s">
        <v>483</v>
      </c>
      <c r="B200" s="141"/>
      <c r="C200" s="158" t="s">
        <v>200</v>
      </c>
      <c r="D200" s="140" t="s">
        <v>466</v>
      </c>
      <c r="E200" s="141"/>
      <c r="F200" s="140">
        <v>566</v>
      </c>
      <c r="G200" s="142">
        <v>1415</v>
      </c>
      <c r="H200" s="135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</row>
    <row r="201" spans="1:29" ht="15.75">
      <c r="A201" s="143" t="s">
        <v>485</v>
      </c>
      <c r="B201" s="144"/>
      <c r="C201" s="143" t="s">
        <v>200</v>
      </c>
      <c r="D201" s="143" t="s">
        <v>486</v>
      </c>
      <c r="E201" s="144"/>
      <c r="F201" s="143" t="s">
        <v>362</v>
      </c>
      <c r="G201" s="145">
        <v>20</v>
      </c>
      <c r="H201" s="139" t="s">
        <v>487</v>
      </c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</row>
    <row r="202" spans="1:29" ht="15.75">
      <c r="A202" s="159" t="s">
        <v>488</v>
      </c>
      <c r="B202" s="160"/>
      <c r="C202" s="159" t="s">
        <v>200</v>
      </c>
      <c r="D202" s="161" t="s">
        <v>464</v>
      </c>
      <c r="E202" s="160"/>
      <c r="F202" s="161">
        <v>50</v>
      </c>
      <c r="G202" s="162">
        <v>77.5</v>
      </c>
      <c r="H202" s="157" t="s">
        <v>489</v>
      </c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</row>
    <row r="203" spans="1:29" ht="15.75">
      <c r="A203" s="163" t="s">
        <v>490</v>
      </c>
      <c r="B203" s="164"/>
      <c r="C203" s="163" t="s">
        <v>200</v>
      </c>
      <c r="D203" s="163" t="s">
        <v>468</v>
      </c>
      <c r="E203" s="165"/>
      <c r="F203" s="163">
        <v>30</v>
      </c>
      <c r="G203" s="166">
        <v>15</v>
      </c>
      <c r="H203" s="135" t="s">
        <v>420</v>
      </c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</row>
    <row r="204" spans="1:29" ht="15.75">
      <c r="A204" s="167" t="s">
        <v>491</v>
      </c>
      <c r="B204" s="168"/>
      <c r="C204" s="167" t="s">
        <v>200</v>
      </c>
      <c r="D204" s="167" t="s">
        <v>464</v>
      </c>
      <c r="E204" s="168"/>
      <c r="F204" s="167">
        <v>57</v>
      </c>
      <c r="G204" s="169">
        <v>110</v>
      </c>
      <c r="H204" s="135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</row>
    <row r="205" spans="1:29" ht="15.75">
      <c r="A205" s="167" t="s">
        <v>491</v>
      </c>
      <c r="B205" s="168"/>
      <c r="C205" s="167" t="s">
        <v>200</v>
      </c>
      <c r="D205" s="167" t="s">
        <v>492</v>
      </c>
      <c r="E205" s="168"/>
      <c r="F205" s="167">
        <v>95</v>
      </c>
      <c r="G205" s="169">
        <v>135</v>
      </c>
      <c r="H205" s="135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</row>
    <row r="206" spans="1:29" ht="15.75">
      <c r="A206" s="167" t="s">
        <v>491</v>
      </c>
      <c r="B206" s="168"/>
      <c r="C206" s="167" t="s">
        <v>200</v>
      </c>
      <c r="D206" s="167" t="s">
        <v>486</v>
      </c>
      <c r="E206" s="168"/>
      <c r="F206" s="167">
        <v>53</v>
      </c>
      <c r="G206" s="169">
        <v>100</v>
      </c>
      <c r="H206" s="135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</row>
    <row r="207" spans="1:29" ht="15.75">
      <c r="A207" s="167" t="s">
        <v>491</v>
      </c>
      <c r="B207" s="168"/>
      <c r="C207" s="167" t="s">
        <v>200</v>
      </c>
      <c r="D207" s="167" t="s">
        <v>481</v>
      </c>
      <c r="E207" s="168"/>
      <c r="F207" s="167">
        <v>60</v>
      </c>
      <c r="G207" s="169">
        <v>43</v>
      </c>
      <c r="H207" s="135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</row>
    <row r="208" spans="1:29" ht="15.75">
      <c r="A208" s="167" t="s">
        <v>491</v>
      </c>
      <c r="B208" s="168"/>
      <c r="C208" s="167" t="s">
        <v>200</v>
      </c>
      <c r="D208" s="167" t="s">
        <v>479</v>
      </c>
      <c r="E208" s="168"/>
      <c r="F208" s="167">
        <v>35</v>
      </c>
      <c r="G208" s="169">
        <v>90</v>
      </c>
      <c r="H208" s="135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</row>
    <row r="209" spans="1:29" ht="15.75">
      <c r="A209" s="167" t="s">
        <v>491</v>
      </c>
      <c r="B209" s="168"/>
      <c r="C209" s="167" t="s">
        <v>200</v>
      </c>
      <c r="D209" s="167" t="s">
        <v>474</v>
      </c>
      <c r="E209" s="168"/>
      <c r="F209" s="167">
        <v>196</v>
      </c>
      <c r="G209" s="169">
        <v>288</v>
      </c>
      <c r="H209" s="135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</row>
    <row r="210" spans="1:29" ht="15.75">
      <c r="A210" s="170" t="s">
        <v>493</v>
      </c>
      <c r="B210" s="171"/>
      <c r="C210" s="170" t="s">
        <v>200</v>
      </c>
      <c r="D210" s="170" t="s">
        <v>464</v>
      </c>
      <c r="E210" s="171"/>
      <c r="F210" s="170">
        <v>165</v>
      </c>
      <c r="G210" s="172" t="s">
        <v>362</v>
      </c>
      <c r="H210" s="139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</row>
    <row r="211" spans="1:29" ht="15.75">
      <c r="A211" s="170" t="s">
        <v>493</v>
      </c>
      <c r="B211" s="171"/>
      <c r="C211" s="170" t="s">
        <v>200</v>
      </c>
      <c r="D211" s="170" t="s">
        <v>494</v>
      </c>
      <c r="E211" s="171"/>
      <c r="F211" s="170">
        <v>85</v>
      </c>
      <c r="G211" s="172" t="s">
        <v>362</v>
      </c>
      <c r="H211" s="139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</row>
    <row r="212" spans="1:29" ht="15.75">
      <c r="A212" s="170" t="s">
        <v>493</v>
      </c>
      <c r="B212" s="171"/>
      <c r="C212" s="170" t="s">
        <v>200</v>
      </c>
      <c r="D212" s="170" t="s">
        <v>492</v>
      </c>
      <c r="E212" s="171"/>
      <c r="F212" s="170">
        <v>80</v>
      </c>
      <c r="G212" s="172" t="s">
        <v>362</v>
      </c>
      <c r="H212" s="139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</row>
    <row r="213" spans="1:29" ht="15.75">
      <c r="A213" s="170" t="s">
        <v>493</v>
      </c>
      <c r="B213" s="171"/>
      <c r="C213" s="170" t="s">
        <v>200</v>
      </c>
      <c r="D213" s="170" t="s">
        <v>468</v>
      </c>
      <c r="E213" s="171"/>
      <c r="F213" s="170">
        <v>400</v>
      </c>
      <c r="G213" s="172" t="s">
        <v>362</v>
      </c>
      <c r="H213" s="139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72"/>
    </row>
    <row r="214" spans="1:29" ht="15.75">
      <c r="A214" s="170" t="s">
        <v>493</v>
      </c>
      <c r="B214" s="171"/>
      <c r="C214" s="170" t="s">
        <v>200</v>
      </c>
      <c r="D214" s="170" t="s">
        <v>474</v>
      </c>
      <c r="E214" s="171"/>
      <c r="F214" s="170">
        <v>65</v>
      </c>
      <c r="G214" s="172" t="s">
        <v>362</v>
      </c>
      <c r="H214" s="139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</row>
    <row r="215" spans="1:29" ht="15.75">
      <c r="A215" s="173" t="s">
        <v>495</v>
      </c>
      <c r="B215" s="174"/>
      <c r="C215" s="173" t="s">
        <v>200</v>
      </c>
      <c r="D215" s="173" t="s">
        <v>468</v>
      </c>
      <c r="E215" s="174"/>
      <c r="F215" s="173">
        <v>205</v>
      </c>
      <c r="G215" s="175">
        <v>250</v>
      </c>
      <c r="H215" s="135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</row>
    <row r="216" spans="1:29" ht="15.75">
      <c r="A216" s="173" t="s">
        <v>495</v>
      </c>
      <c r="B216" s="174"/>
      <c r="C216" s="173" t="s">
        <v>200</v>
      </c>
      <c r="D216" s="173" t="s">
        <v>492</v>
      </c>
      <c r="E216" s="174"/>
      <c r="F216" s="173">
        <v>66</v>
      </c>
      <c r="G216" s="175">
        <v>90</v>
      </c>
      <c r="H216" s="135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</row>
    <row r="217" spans="1:29" ht="15.75">
      <c r="A217" s="173" t="s">
        <v>495</v>
      </c>
      <c r="B217" s="174"/>
      <c r="C217" s="173" t="s">
        <v>200</v>
      </c>
      <c r="D217" s="173" t="s">
        <v>496</v>
      </c>
      <c r="E217" s="174"/>
      <c r="F217" s="173">
        <v>60</v>
      </c>
      <c r="G217" s="175">
        <v>82</v>
      </c>
      <c r="H217" s="135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  <c r="AA217" s="72"/>
      <c r="AB217" s="72"/>
      <c r="AC217" s="72"/>
    </row>
    <row r="218" spans="1:29" ht="15.75">
      <c r="A218" s="173" t="s">
        <v>495</v>
      </c>
      <c r="B218" s="174"/>
      <c r="C218" s="173" t="s">
        <v>200</v>
      </c>
      <c r="D218" s="173" t="s">
        <v>481</v>
      </c>
      <c r="E218" s="174"/>
      <c r="F218" s="173">
        <v>72</v>
      </c>
      <c r="G218" s="175">
        <v>51</v>
      </c>
      <c r="H218" s="135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  <c r="AA218" s="72"/>
      <c r="AB218" s="72"/>
      <c r="AC218" s="72"/>
    </row>
    <row r="219" spans="1:29" ht="15.75">
      <c r="A219" s="173" t="s">
        <v>495</v>
      </c>
      <c r="B219" s="174"/>
      <c r="C219" s="173" t="s">
        <v>200</v>
      </c>
      <c r="D219" s="173" t="s">
        <v>464</v>
      </c>
      <c r="E219" s="174"/>
      <c r="F219" s="173">
        <v>75</v>
      </c>
      <c r="G219" s="175">
        <v>140</v>
      </c>
      <c r="H219" s="135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</row>
    <row r="220" spans="1:29" ht="15.75">
      <c r="A220" s="173" t="s">
        <v>495</v>
      </c>
      <c r="B220" s="174"/>
      <c r="C220" s="173" t="s">
        <v>200</v>
      </c>
      <c r="D220" s="173" t="s">
        <v>479</v>
      </c>
      <c r="E220" s="174"/>
      <c r="F220" s="173">
        <v>61</v>
      </c>
      <c r="G220" s="175">
        <v>171</v>
      </c>
      <c r="H220" s="135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  <c r="AA220" s="72"/>
      <c r="AB220" s="72"/>
      <c r="AC220" s="72"/>
    </row>
    <row r="221" spans="1:29" ht="15.75">
      <c r="A221" s="130" t="s">
        <v>497</v>
      </c>
      <c r="B221" s="131"/>
      <c r="C221" s="130" t="s">
        <v>200</v>
      </c>
      <c r="D221" s="130" t="s">
        <v>464</v>
      </c>
      <c r="E221" s="131"/>
      <c r="F221" s="130">
        <v>315</v>
      </c>
      <c r="G221" s="133" t="s">
        <v>362</v>
      </c>
      <c r="H221" s="139" t="s">
        <v>498</v>
      </c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  <c r="AA221" s="72"/>
      <c r="AB221" s="72"/>
      <c r="AC221" s="72"/>
    </row>
    <row r="222" spans="1:29" ht="15.75">
      <c r="A222" s="130" t="s">
        <v>497</v>
      </c>
      <c r="B222" s="131"/>
      <c r="C222" s="130" t="s">
        <v>200</v>
      </c>
      <c r="D222" s="130" t="s">
        <v>494</v>
      </c>
      <c r="E222" s="131"/>
      <c r="F222" s="130">
        <v>50</v>
      </c>
      <c r="G222" s="133" t="s">
        <v>362</v>
      </c>
      <c r="H222" s="139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  <c r="AA222" s="72"/>
      <c r="AB222" s="72"/>
      <c r="AC222" s="72"/>
    </row>
    <row r="223" spans="1:29" ht="15.75">
      <c r="A223" s="130" t="s">
        <v>497</v>
      </c>
      <c r="B223" s="131"/>
      <c r="C223" s="130" t="s">
        <v>200</v>
      </c>
      <c r="D223" s="130" t="s">
        <v>474</v>
      </c>
      <c r="E223" s="131"/>
      <c r="F223" s="130">
        <v>60</v>
      </c>
      <c r="G223" s="133" t="s">
        <v>362</v>
      </c>
      <c r="H223" s="139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  <c r="AC223" s="72"/>
    </row>
    <row r="224" spans="1:29" ht="15.75">
      <c r="A224" s="130" t="s">
        <v>497</v>
      </c>
      <c r="B224" s="131"/>
      <c r="C224" s="130" t="s">
        <v>200</v>
      </c>
      <c r="D224" s="130" t="s">
        <v>492</v>
      </c>
      <c r="E224" s="131"/>
      <c r="F224" s="130">
        <v>90</v>
      </c>
      <c r="G224" s="133" t="s">
        <v>362</v>
      </c>
      <c r="H224" s="139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  <c r="AC224" s="72"/>
    </row>
    <row r="225" spans="1:29" ht="15.75">
      <c r="A225" s="130" t="s">
        <v>497</v>
      </c>
      <c r="B225" s="131"/>
      <c r="C225" s="130" t="s">
        <v>200</v>
      </c>
      <c r="D225" s="130" t="s">
        <v>468</v>
      </c>
      <c r="E225" s="131"/>
      <c r="F225" s="130">
        <v>400</v>
      </c>
      <c r="G225" s="133" t="s">
        <v>362</v>
      </c>
      <c r="H225" s="139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  <c r="AC225" s="72"/>
    </row>
    <row r="226" spans="1:29" ht="15.75">
      <c r="A226" s="176" t="s">
        <v>499</v>
      </c>
      <c r="B226" s="137"/>
      <c r="C226" s="176" t="s">
        <v>200</v>
      </c>
      <c r="D226" s="176" t="s">
        <v>468</v>
      </c>
      <c r="E226" s="137"/>
      <c r="F226" s="176">
        <v>369</v>
      </c>
      <c r="G226" s="177">
        <v>295.2</v>
      </c>
      <c r="H226" s="135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  <c r="AA226" s="72"/>
      <c r="AB226" s="72"/>
      <c r="AC226" s="72"/>
    </row>
    <row r="227" spans="1:29" ht="15.75">
      <c r="A227" s="159" t="s">
        <v>499</v>
      </c>
      <c r="B227" s="160"/>
      <c r="C227" s="159" t="s">
        <v>200</v>
      </c>
      <c r="D227" s="159" t="s">
        <v>492</v>
      </c>
      <c r="E227" s="160"/>
      <c r="F227" s="159">
        <v>186</v>
      </c>
      <c r="G227" s="178">
        <v>93</v>
      </c>
      <c r="H227" s="135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  <c r="AA227" s="72"/>
      <c r="AB227" s="72"/>
      <c r="AC227" s="72"/>
    </row>
    <row r="228" spans="1:29" ht="15.75">
      <c r="A228" s="159" t="s">
        <v>499</v>
      </c>
      <c r="B228" s="160"/>
      <c r="C228" s="159" t="s">
        <v>200</v>
      </c>
      <c r="D228" s="159" t="s">
        <v>464</v>
      </c>
      <c r="E228" s="160"/>
      <c r="F228" s="159">
        <v>406</v>
      </c>
      <c r="G228" s="178">
        <v>406</v>
      </c>
      <c r="H228" s="135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</row>
    <row r="229" spans="1:29" ht="15.75">
      <c r="A229" s="159" t="s">
        <v>499</v>
      </c>
      <c r="B229" s="160"/>
      <c r="C229" s="159" t="s">
        <v>200</v>
      </c>
      <c r="D229" s="161" t="s">
        <v>500</v>
      </c>
      <c r="E229" s="160"/>
      <c r="F229" s="161">
        <v>1280</v>
      </c>
      <c r="G229" s="162">
        <v>1600</v>
      </c>
      <c r="H229" s="135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  <c r="AA229" s="72"/>
      <c r="AB229" s="72"/>
      <c r="AC229" s="72"/>
    </row>
    <row r="230" spans="1:29" ht="15.75">
      <c r="A230" s="159" t="s">
        <v>499</v>
      </c>
      <c r="B230" s="160"/>
      <c r="C230" s="159" t="s">
        <v>200</v>
      </c>
      <c r="D230" s="159" t="s">
        <v>501</v>
      </c>
      <c r="E230" s="160"/>
      <c r="F230" s="159">
        <v>85</v>
      </c>
      <c r="G230" s="178">
        <v>59.5</v>
      </c>
      <c r="H230" s="135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</row>
    <row r="231" spans="1:29" ht="15.75">
      <c r="A231" s="140" t="s">
        <v>502</v>
      </c>
      <c r="B231" s="141"/>
      <c r="C231" s="140" t="s">
        <v>200</v>
      </c>
      <c r="D231" s="140" t="s">
        <v>464</v>
      </c>
      <c r="E231" s="141"/>
      <c r="F231" s="140">
        <v>180</v>
      </c>
      <c r="G231" s="142">
        <v>450</v>
      </c>
      <c r="H231" s="135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  <c r="AC231" s="72"/>
    </row>
    <row r="232" spans="1:29" ht="15.75">
      <c r="A232" s="140" t="s">
        <v>502</v>
      </c>
      <c r="B232" s="141"/>
      <c r="C232" s="140" t="s">
        <v>200</v>
      </c>
      <c r="D232" s="140" t="s">
        <v>466</v>
      </c>
      <c r="E232" s="141"/>
      <c r="F232" s="140">
        <v>441</v>
      </c>
      <c r="G232" s="142">
        <v>1102.5</v>
      </c>
      <c r="H232" s="135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</row>
    <row r="233" spans="1:29" ht="15.75">
      <c r="A233" s="170" t="s">
        <v>503</v>
      </c>
      <c r="B233" s="171"/>
      <c r="C233" s="170" t="s">
        <v>200</v>
      </c>
      <c r="D233" s="170" t="s">
        <v>468</v>
      </c>
      <c r="E233" s="171"/>
      <c r="F233" s="170">
        <v>200</v>
      </c>
      <c r="G233" s="172">
        <v>250</v>
      </c>
      <c r="H233" s="139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</row>
    <row r="234" spans="1:29" ht="15.75">
      <c r="A234" s="170" t="s">
        <v>503</v>
      </c>
      <c r="B234" s="171"/>
      <c r="C234" s="170" t="s">
        <v>200</v>
      </c>
      <c r="D234" s="170" t="s">
        <v>504</v>
      </c>
      <c r="E234" s="171"/>
      <c r="F234" s="170">
        <v>182</v>
      </c>
      <c r="G234" s="172">
        <v>364</v>
      </c>
      <c r="H234" s="139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  <c r="AA234" s="72"/>
      <c r="AB234" s="72"/>
      <c r="AC234" s="72"/>
    </row>
    <row r="235" spans="1:29" ht="15.75">
      <c r="A235" s="170" t="s">
        <v>503</v>
      </c>
      <c r="B235" s="171"/>
      <c r="C235" s="170" t="s">
        <v>200</v>
      </c>
      <c r="D235" s="170" t="s">
        <v>505</v>
      </c>
      <c r="E235" s="171"/>
      <c r="F235" s="170">
        <v>73</v>
      </c>
      <c r="G235" s="172">
        <v>54</v>
      </c>
      <c r="H235" s="139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  <c r="AA235" s="72"/>
      <c r="AB235" s="72"/>
      <c r="AC235" s="72"/>
    </row>
    <row r="236" spans="1:29" ht="15.75">
      <c r="A236" s="148" t="s">
        <v>506</v>
      </c>
      <c r="B236" s="147"/>
      <c r="C236" s="148" t="s">
        <v>200</v>
      </c>
      <c r="D236" s="148" t="s">
        <v>468</v>
      </c>
      <c r="E236" s="147"/>
      <c r="F236" s="148">
        <v>200</v>
      </c>
      <c r="G236" s="149">
        <v>250</v>
      </c>
      <c r="H236" s="139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  <c r="AC236" s="72"/>
    </row>
    <row r="237" spans="1:29" ht="15.75">
      <c r="A237" s="148" t="s">
        <v>506</v>
      </c>
      <c r="B237" s="147"/>
      <c r="C237" s="148" t="s">
        <v>200</v>
      </c>
      <c r="D237" s="148" t="s">
        <v>492</v>
      </c>
      <c r="E237" s="147"/>
      <c r="F237" s="148">
        <v>108</v>
      </c>
      <c r="G237" s="149">
        <v>162</v>
      </c>
      <c r="H237" s="139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  <c r="AA237" s="72"/>
      <c r="AB237" s="72"/>
      <c r="AC237" s="72"/>
    </row>
    <row r="238" spans="1:29" ht="15.75">
      <c r="A238" s="148" t="s">
        <v>506</v>
      </c>
      <c r="B238" s="147"/>
      <c r="C238" s="148" t="s">
        <v>200</v>
      </c>
      <c r="D238" s="148" t="s">
        <v>479</v>
      </c>
      <c r="E238" s="147"/>
      <c r="F238" s="148">
        <v>70</v>
      </c>
      <c r="G238" s="149">
        <v>210</v>
      </c>
      <c r="H238" s="139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  <c r="AC238" s="72"/>
    </row>
    <row r="239" spans="1:29" ht="15.75">
      <c r="A239" s="148" t="s">
        <v>506</v>
      </c>
      <c r="B239" s="147"/>
      <c r="C239" s="148" t="s">
        <v>200</v>
      </c>
      <c r="D239" s="148" t="s">
        <v>481</v>
      </c>
      <c r="E239" s="147"/>
      <c r="F239" s="148">
        <v>68</v>
      </c>
      <c r="G239" s="149">
        <v>51</v>
      </c>
      <c r="H239" s="139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</row>
    <row r="240" spans="1:29" ht="15.75">
      <c r="A240" s="148" t="s">
        <v>506</v>
      </c>
      <c r="B240" s="147"/>
      <c r="C240" s="148" t="s">
        <v>200</v>
      </c>
      <c r="D240" s="148" t="s">
        <v>464</v>
      </c>
      <c r="E240" s="147"/>
      <c r="F240" s="148">
        <v>37</v>
      </c>
      <c r="G240" s="149">
        <v>74</v>
      </c>
      <c r="H240" s="139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  <c r="AA240" s="72"/>
      <c r="AB240" s="72"/>
      <c r="AC240" s="72"/>
    </row>
    <row r="241" spans="1:29" ht="15.75">
      <c r="A241" s="167" t="s">
        <v>507</v>
      </c>
      <c r="B241" s="168"/>
      <c r="C241" s="167" t="s">
        <v>200</v>
      </c>
      <c r="D241" s="167" t="s">
        <v>466</v>
      </c>
      <c r="E241" s="168"/>
      <c r="F241" s="167" t="s">
        <v>362</v>
      </c>
      <c r="G241" s="169">
        <v>267</v>
      </c>
      <c r="H241" s="139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</row>
    <row r="242" spans="1:29" ht="15.75">
      <c r="A242" s="167" t="s">
        <v>507</v>
      </c>
      <c r="B242" s="168"/>
      <c r="C242" s="167" t="s">
        <v>200</v>
      </c>
      <c r="D242" s="167" t="s">
        <v>508</v>
      </c>
      <c r="E242" s="168"/>
      <c r="F242" s="167">
        <v>70</v>
      </c>
      <c r="G242" s="169">
        <v>175</v>
      </c>
      <c r="H242" s="139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72"/>
      <c r="AC242" s="72"/>
    </row>
    <row r="243" spans="1:29" ht="15.75">
      <c r="A243" s="167" t="s">
        <v>507</v>
      </c>
      <c r="B243" s="168"/>
      <c r="C243" s="167" t="s">
        <v>200</v>
      </c>
      <c r="D243" s="167" t="s">
        <v>481</v>
      </c>
      <c r="E243" s="168"/>
      <c r="F243" s="167">
        <v>400</v>
      </c>
      <c r="G243" s="169">
        <v>240</v>
      </c>
      <c r="H243" s="139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  <c r="AA243" s="72"/>
      <c r="AB243" s="72"/>
      <c r="AC243" s="72"/>
    </row>
    <row r="244" spans="1:29" ht="15.75">
      <c r="A244" s="167" t="s">
        <v>507</v>
      </c>
      <c r="B244" s="168"/>
      <c r="C244" s="167" t="s">
        <v>200</v>
      </c>
      <c r="D244" s="167" t="s">
        <v>509</v>
      </c>
      <c r="E244" s="168"/>
      <c r="F244" s="167">
        <v>200</v>
      </c>
      <c r="G244" s="169">
        <v>200</v>
      </c>
      <c r="H244" s="139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72"/>
    </row>
    <row r="245" spans="1:29" ht="15.75">
      <c r="A245" s="167" t="s">
        <v>507</v>
      </c>
      <c r="B245" s="168"/>
      <c r="C245" s="167" t="s">
        <v>200</v>
      </c>
      <c r="D245" s="167" t="s">
        <v>510</v>
      </c>
      <c r="E245" s="168"/>
      <c r="F245" s="167">
        <v>350</v>
      </c>
      <c r="G245" s="169">
        <v>437.5</v>
      </c>
      <c r="H245" s="139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  <c r="AA245" s="72"/>
      <c r="AB245" s="72"/>
      <c r="AC245" s="72"/>
    </row>
    <row r="246" spans="1:29" ht="15.75">
      <c r="A246" s="167" t="s">
        <v>507</v>
      </c>
      <c r="B246" s="168"/>
      <c r="C246" s="167" t="s">
        <v>200</v>
      </c>
      <c r="D246" s="167" t="s">
        <v>492</v>
      </c>
      <c r="E246" s="168"/>
      <c r="F246" s="167">
        <v>60</v>
      </c>
      <c r="G246" s="169" t="s">
        <v>362</v>
      </c>
      <c r="H246" s="139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  <c r="AA246" s="72"/>
      <c r="AB246" s="72"/>
      <c r="AC246" s="72"/>
    </row>
    <row r="247" spans="1:29" ht="15.75">
      <c r="A247" s="167" t="s">
        <v>507</v>
      </c>
      <c r="B247" s="168"/>
      <c r="C247" s="167" t="s">
        <v>200</v>
      </c>
      <c r="D247" s="167" t="s">
        <v>468</v>
      </c>
      <c r="E247" s="168"/>
      <c r="F247" s="167" t="s">
        <v>362</v>
      </c>
      <c r="G247" s="169" t="s">
        <v>362</v>
      </c>
      <c r="H247" s="139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  <c r="AA247" s="72"/>
      <c r="AB247" s="72"/>
      <c r="AC247" s="72"/>
    </row>
    <row r="248" spans="1:29" ht="15.75">
      <c r="A248" s="167" t="s">
        <v>507</v>
      </c>
      <c r="B248" s="168"/>
      <c r="C248" s="167" t="s">
        <v>200</v>
      </c>
      <c r="D248" s="167" t="s">
        <v>492</v>
      </c>
      <c r="E248" s="168"/>
      <c r="F248" s="167" t="s">
        <v>362</v>
      </c>
      <c r="G248" s="169" t="s">
        <v>362</v>
      </c>
      <c r="H248" s="139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  <c r="AA248" s="72"/>
      <c r="AB248" s="72"/>
      <c r="AC248" s="72"/>
    </row>
    <row r="249" spans="1:29" ht="15.75">
      <c r="A249" s="167" t="s">
        <v>507</v>
      </c>
      <c r="B249" s="168"/>
      <c r="C249" s="167" t="s">
        <v>200</v>
      </c>
      <c r="D249" s="167" t="s">
        <v>486</v>
      </c>
      <c r="E249" s="168"/>
      <c r="F249" s="167" t="s">
        <v>362</v>
      </c>
      <c r="G249" s="169" t="s">
        <v>362</v>
      </c>
      <c r="H249" s="139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  <c r="AA249" s="72"/>
      <c r="AB249" s="72"/>
      <c r="AC249" s="72"/>
    </row>
    <row r="250" spans="1:29" ht="15.75">
      <c r="A250" s="167" t="s">
        <v>507</v>
      </c>
      <c r="B250" s="168"/>
      <c r="C250" s="167" t="s">
        <v>200</v>
      </c>
      <c r="D250" s="167" t="s">
        <v>474</v>
      </c>
      <c r="E250" s="168"/>
      <c r="F250" s="167" t="s">
        <v>362</v>
      </c>
      <c r="G250" s="169" t="s">
        <v>362</v>
      </c>
      <c r="H250" s="139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  <c r="AA250" s="72"/>
      <c r="AB250" s="72"/>
      <c r="AC250" s="72"/>
    </row>
    <row r="251" spans="1:29" ht="15.75">
      <c r="A251" s="167" t="s">
        <v>507</v>
      </c>
      <c r="B251" s="168"/>
      <c r="C251" s="167" t="s">
        <v>200</v>
      </c>
      <c r="D251" s="167" t="s">
        <v>466</v>
      </c>
      <c r="E251" s="168"/>
      <c r="F251" s="167">
        <v>208</v>
      </c>
      <c r="G251" s="169">
        <v>108</v>
      </c>
      <c r="H251" s="139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  <c r="AA251" s="72"/>
      <c r="AB251" s="72"/>
      <c r="AC251" s="72"/>
    </row>
    <row r="252" spans="1:29" ht="15.75">
      <c r="A252" s="167" t="s">
        <v>507</v>
      </c>
      <c r="B252" s="168"/>
      <c r="C252" s="167" t="s">
        <v>200</v>
      </c>
      <c r="D252" s="167" t="s">
        <v>494</v>
      </c>
      <c r="E252" s="168"/>
      <c r="F252" s="167">
        <v>110</v>
      </c>
      <c r="G252" s="169">
        <v>198</v>
      </c>
      <c r="H252" s="139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  <c r="AA252" s="72"/>
      <c r="AB252" s="72"/>
      <c r="AC252" s="72"/>
    </row>
    <row r="253" spans="1:29" ht="15.75">
      <c r="A253" s="167" t="s">
        <v>507</v>
      </c>
      <c r="B253" s="168"/>
      <c r="C253" s="167" t="s">
        <v>200</v>
      </c>
      <c r="D253" s="167" t="s">
        <v>468</v>
      </c>
      <c r="E253" s="168"/>
      <c r="F253" s="167">
        <v>728</v>
      </c>
      <c r="G253" s="169">
        <v>728</v>
      </c>
      <c r="H253" s="139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  <c r="AA253" s="72"/>
      <c r="AB253" s="72"/>
      <c r="AC253" s="72"/>
    </row>
    <row r="254" spans="1:29" ht="15.75">
      <c r="A254" s="163" t="s">
        <v>511</v>
      </c>
      <c r="B254" s="165"/>
      <c r="C254" s="163" t="s">
        <v>200</v>
      </c>
      <c r="D254" s="163" t="s">
        <v>464</v>
      </c>
      <c r="E254" s="165"/>
      <c r="F254" s="163">
        <v>223</v>
      </c>
      <c r="G254" s="166">
        <v>446</v>
      </c>
      <c r="H254" s="135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  <c r="AA254" s="72"/>
      <c r="AB254" s="72"/>
      <c r="AC254" s="72"/>
    </row>
    <row r="255" spans="1:29" ht="15.75">
      <c r="A255" s="163" t="s">
        <v>511</v>
      </c>
      <c r="B255" s="165"/>
      <c r="C255" s="163" t="s">
        <v>200</v>
      </c>
      <c r="D255" s="163" t="s">
        <v>474</v>
      </c>
      <c r="E255" s="165"/>
      <c r="F255" s="163">
        <v>302</v>
      </c>
      <c r="G255" s="166">
        <v>362</v>
      </c>
      <c r="H255" s="135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</row>
    <row r="256" spans="1:29" ht="15.75">
      <c r="A256" s="163" t="s">
        <v>511</v>
      </c>
      <c r="B256" s="165"/>
      <c r="C256" s="163" t="s">
        <v>200</v>
      </c>
      <c r="D256" s="163" t="s">
        <v>481</v>
      </c>
      <c r="E256" s="165"/>
      <c r="F256" s="163">
        <v>253</v>
      </c>
      <c r="G256" s="166">
        <v>164.4</v>
      </c>
      <c r="H256" s="135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</row>
    <row r="257" spans="1:29" ht="15.75">
      <c r="A257" s="163" t="s">
        <v>511</v>
      </c>
      <c r="B257" s="165"/>
      <c r="C257" s="163" t="s">
        <v>200</v>
      </c>
      <c r="D257" s="163" t="s">
        <v>512</v>
      </c>
      <c r="E257" s="165"/>
      <c r="F257" s="163">
        <v>30</v>
      </c>
      <c r="G257" s="166">
        <v>21</v>
      </c>
      <c r="H257" s="135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  <c r="AA257" s="72"/>
      <c r="AB257" s="72"/>
      <c r="AC257" s="72"/>
    </row>
    <row r="258" spans="1:29" ht="15.75">
      <c r="A258" s="163" t="s">
        <v>511</v>
      </c>
      <c r="B258" s="165"/>
      <c r="C258" s="163" t="s">
        <v>200</v>
      </c>
      <c r="D258" s="163" t="s">
        <v>494</v>
      </c>
      <c r="E258" s="165"/>
      <c r="F258" s="163">
        <v>50</v>
      </c>
      <c r="G258" s="166">
        <v>75</v>
      </c>
      <c r="H258" s="135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  <c r="AA258" s="72"/>
      <c r="AB258" s="72"/>
      <c r="AC258" s="72"/>
    </row>
    <row r="259" spans="1:29" ht="15.75">
      <c r="A259" s="163" t="s">
        <v>511</v>
      </c>
      <c r="B259" s="165"/>
      <c r="C259" s="163" t="s">
        <v>200</v>
      </c>
      <c r="D259" s="163" t="s">
        <v>510</v>
      </c>
      <c r="E259" s="165"/>
      <c r="F259" s="163">
        <v>163</v>
      </c>
      <c r="G259" s="166">
        <v>203.75</v>
      </c>
      <c r="H259" s="135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</row>
    <row r="260" spans="1:29" ht="15.75">
      <c r="A260" s="163" t="s">
        <v>511</v>
      </c>
      <c r="B260" s="165"/>
      <c r="C260" s="163" t="s">
        <v>200</v>
      </c>
      <c r="D260" s="163" t="s">
        <v>509</v>
      </c>
      <c r="E260" s="165"/>
      <c r="F260" s="163">
        <v>50</v>
      </c>
      <c r="G260" s="166">
        <v>50</v>
      </c>
      <c r="H260" s="135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  <c r="AA260" s="72"/>
      <c r="AB260" s="72"/>
      <c r="AC260" s="72"/>
    </row>
    <row r="261" spans="1:29" ht="15.75">
      <c r="A261" s="163" t="s">
        <v>511</v>
      </c>
      <c r="B261" s="165"/>
      <c r="C261" s="163" t="s">
        <v>200</v>
      </c>
      <c r="D261" s="163" t="s">
        <v>468</v>
      </c>
      <c r="E261" s="165"/>
      <c r="F261" s="163">
        <v>792</v>
      </c>
      <c r="G261" s="166">
        <v>977.5</v>
      </c>
      <c r="H261" s="135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</row>
    <row r="262" spans="1:29" ht="15.75">
      <c r="A262" s="163" t="s">
        <v>511</v>
      </c>
      <c r="B262" s="165"/>
      <c r="C262" s="163" t="s">
        <v>200</v>
      </c>
      <c r="D262" s="163" t="s">
        <v>466</v>
      </c>
      <c r="E262" s="165"/>
      <c r="F262" s="163">
        <v>28</v>
      </c>
      <c r="G262" s="166">
        <v>80.22</v>
      </c>
      <c r="H262" s="135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  <c r="AA262" s="72"/>
      <c r="AB262" s="72"/>
      <c r="AC262" s="72"/>
    </row>
    <row r="263" spans="1:29" ht="15.75">
      <c r="A263" s="163" t="s">
        <v>511</v>
      </c>
      <c r="B263" s="165"/>
      <c r="C263" s="163" t="s">
        <v>200</v>
      </c>
      <c r="D263" s="163" t="s">
        <v>486</v>
      </c>
      <c r="E263" s="165"/>
      <c r="F263" s="163">
        <v>6</v>
      </c>
      <c r="G263" s="166">
        <v>15</v>
      </c>
      <c r="H263" s="135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  <c r="AA263" s="72"/>
      <c r="AB263" s="72"/>
      <c r="AC263" s="72"/>
    </row>
    <row r="264" spans="1:29" ht="15.75">
      <c r="A264" s="163" t="s">
        <v>511</v>
      </c>
      <c r="B264" s="165"/>
      <c r="C264" s="163" t="s">
        <v>200</v>
      </c>
      <c r="D264" s="163" t="s">
        <v>513</v>
      </c>
      <c r="E264" s="165"/>
      <c r="F264" s="163">
        <v>20</v>
      </c>
      <c r="G264" s="166">
        <v>20</v>
      </c>
      <c r="H264" s="135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  <c r="AA264" s="72"/>
      <c r="AB264" s="72"/>
      <c r="AC264" s="72"/>
    </row>
    <row r="265" spans="1:29" ht="15.75">
      <c r="A265" s="163" t="s">
        <v>511</v>
      </c>
      <c r="B265" s="165"/>
      <c r="C265" s="163" t="s">
        <v>200</v>
      </c>
      <c r="D265" s="163" t="s">
        <v>492</v>
      </c>
      <c r="E265" s="165"/>
      <c r="F265" s="163">
        <v>65</v>
      </c>
      <c r="G265" s="166">
        <v>97</v>
      </c>
      <c r="H265" s="135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  <c r="AA265" s="72"/>
      <c r="AB265" s="72"/>
      <c r="AC265" s="72"/>
    </row>
    <row r="266" spans="1:29" ht="15.75">
      <c r="A266" s="148" t="s">
        <v>514</v>
      </c>
      <c r="B266" s="147"/>
      <c r="C266" s="148" t="s">
        <v>200</v>
      </c>
      <c r="D266" s="148" t="s">
        <v>464</v>
      </c>
      <c r="E266" s="147"/>
      <c r="F266" s="148">
        <v>203</v>
      </c>
      <c r="G266" s="149">
        <v>406</v>
      </c>
      <c r="H266" s="139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</row>
    <row r="267" spans="1:29" ht="15.75">
      <c r="A267" s="148" t="s">
        <v>514</v>
      </c>
      <c r="B267" s="147"/>
      <c r="C267" s="148" t="s">
        <v>200</v>
      </c>
      <c r="D267" s="148" t="s">
        <v>515</v>
      </c>
      <c r="E267" s="147"/>
      <c r="F267" s="148">
        <v>25</v>
      </c>
      <c r="G267" s="149">
        <v>31.25</v>
      </c>
      <c r="H267" s="139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  <c r="AA267" s="72"/>
      <c r="AB267" s="72"/>
      <c r="AC267" s="72"/>
    </row>
    <row r="268" spans="1:29" ht="15.75">
      <c r="A268" s="148" t="s">
        <v>514</v>
      </c>
      <c r="B268" s="147"/>
      <c r="C268" s="148" t="s">
        <v>200</v>
      </c>
      <c r="D268" s="148" t="s">
        <v>474</v>
      </c>
      <c r="E268" s="147"/>
      <c r="F268" s="148">
        <v>30</v>
      </c>
      <c r="G268" s="149">
        <v>37.5</v>
      </c>
      <c r="H268" s="139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  <c r="AA268" s="72"/>
      <c r="AB268" s="72"/>
      <c r="AC268" s="72"/>
    </row>
    <row r="269" spans="1:29" ht="15.75">
      <c r="A269" s="148" t="s">
        <v>514</v>
      </c>
      <c r="B269" s="147"/>
      <c r="C269" s="148" t="s">
        <v>200</v>
      </c>
      <c r="D269" s="148" t="s">
        <v>468</v>
      </c>
      <c r="E269" s="147"/>
      <c r="F269" s="148">
        <v>400</v>
      </c>
      <c r="G269" s="149">
        <v>500</v>
      </c>
      <c r="H269" s="139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  <c r="AA269" s="72"/>
      <c r="AB269" s="72"/>
      <c r="AC269" s="72"/>
    </row>
    <row r="270" spans="1:29" ht="15.75">
      <c r="A270" s="148" t="s">
        <v>514</v>
      </c>
      <c r="B270" s="147"/>
      <c r="C270" s="148" t="s">
        <v>200</v>
      </c>
      <c r="D270" s="148" t="s">
        <v>494</v>
      </c>
      <c r="E270" s="147"/>
      <c r="F270" s="148">
        <v>200</v>
      </c>
      <c r="G270" s="149" t="s">
        <v>362</v>
      </c>
      <c r="H270" s="139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  <c r="AA270" s="72"/>
      <c r="AB270" s="72"/>
      <c r="AC270" s="72"/>
    </row>
    <row r="271" spans="1:29" ht="15.75">
      <c r="A271" s="148" t="s">
        <v>514</v>
      </c>
      <c r="B271" s="147"/>
      <c r="C271" s="148" t="s">
        <v>200</v>
      </c>
      <c r="D271" s="148" t="s">
        <v>492</v>
      </c>
      <c r="E271" s="147"/>
      <c r="F271" s="148">
        <v>70</v>
      </c>
      <c r="G271" s="149" t="s">
        <v>362</v>
      </c>
      <c r="H271" s="139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</row>
    <row r="272" spans="1:29" ht="15.75">
      <c r="A272" s="148" t="s">
        <v>516</v>
      </c>
      <c r="B272" s="147"/>
      <c r="C272" s="148" t="s">
        <v>200</v>
      </c>
      <c r="D272" s="148" t="s">
        <v>479</v>
      </c>
      <c r="E272" s="147"/>
      <c r="F272" s="148">
        <v>100</v>
      </c>
      <c r="G272" s="149">
        <v>250</v>
      </c>
      <c r="H272" s="135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  <c r="AA272" s="72"/>
      <c r="AB272" s="72"/>
      <c r="AC272" s="72"/>
    </row>
    <row r="273" spans="1:29" ht="15.75">
      <c r="A273" s="136" t="s">
        <v>517</v>
      </c>
      <c r="B273" s="137"/>
      <c r="C273" s="136" t="s">
        <v>200</v>
      </c>
      <c r="D273" s="136" t="s">
        <v>468</v>
      </c>
      <c r="E273" s="137"/>
      <c r="F273" s="136">
        <v>200</v>
      </c>
      <c r="G273" s="138">
        <v>250</v>
      </c>
      <c r="H273" s="135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  <c r="AA273" s="72"/>
      <c r="AB273" s="72"/>
      <c r="AC273" s="72"/>
    </row>
    <row r="274" spans="1:29" ht="15.75">
      <c r="A274" s="136" t="s">
        <v>517</v>
      </c>
      <c r="B274" s="137"/>
      <c r="C274" s="136" t="s">
        <v>200</v>
      </c>
      <c r="D274" s="136" t="s">
        <v>479</v>
      </c>
      <c r="E274" s="137"/>
      <c r="F274" s="136">
        <v>100</v>
      </c>
      <c r="G274" s="138">
        <v>250</v>
      </c>
      <c r="H274" s="135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</row>
    <row r="275" spans="1:29" ht="15.75">
      <c r="A275" s="153" t="s">
        <v>518</v>
      </c>
      <c r="B275" s="154"/>
      <c r="C275" s="153" t="s">
        <v>200</v>
      </c>
      <c r="D275" s="153" t="s">
        <v>479</v>
      </c>
      <c r="E275" s="154"/>
      <c r="F275" s="153">
        <v>54</v>
      </c>
      <c r="G275" s="179">
        <v>125</v>
      </c>
      <c r="H275" s="135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  <c r="AA275" s="72"/>
      <c r="AB275" s="72"/>
      <c r="AC275" s="72"/>
    </row>
    <row r="276" spans="1:29" ht="15.75">
      <c r="A276" s="153" t="s">
        <v>518</v>
      </c>
      <c r="B276" s="154"/>
      <c r="C276" s="153" t="s">
        <v>200</v>
      </c>
      <c r="D276" s="155" t="s">
        <v>468</v>
      </c>
      <c r="E276" s="154"/>
      <c r="F276" s="155">
        <v>164</v>
      </c>
      <c r="G276" s="156">
        <v>200</v>
      </c>
      <c r="H276" s="135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  <c r="AA276" s="72"/>
      <c r="AB276" s="72"/>
      <c r="AC276" s="72"/>
    </row>
    <row r="277" spans="1:29" ht="15.75">
      <c r="A277" s="153" t="s">
        <v>518</v>
      </c>
      <c r="B277" s="154"/>
      <c r="C277" s="153" t="s">
        <v>200</v>
      </c>
      <c r="D277" s="155" t="s">
        <v>481</v>
      </c>
      <c r="E277" s="154"/>
      <c r="F277" s="155">
        <v>21</v>
      </c>
      <c r="G277" s="156">
        <v>15</v>
      </c>
      <c r="H277" s="135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  <c r="AA277" s="72"/>
      <c r="AB277" s="72"/>
      <c r="AC277" s="72"/>
    </row>
    <row r="278" spans="1:29" ht="15.75">
      <c r="A278" s="153" t="s">
        <v>518</v>
      </c>
      <c r="B278" s="154"/>
      <c r="C278" s="153" t="s">
        <v>200</v>
      </c>
      <c r="D278" s="155" t="s">
        <v>492</v>
      </c>
      <c r="E278" s="154"/>
      <c r="F278" s="155">
        <v>32</v>
      </c>
      <c r="G278" s="156">
        <v>45</v>
      </c>
      <c r="H278" s="135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  <c r="AA278" s="72"/>
      <c r="AB278" s="72"/>
      <c r="AC278" s="72"/>
    </row>
    <row r="279" spans="1:29" ht="15.75">
      <c r="A279" s="153" t="s">
        <v>518</v>
      </c>
      <c r="B279" s="154"/>
      <c r="C279" s="153" t="s">
        <v>200</v>
      </c>
      <c r="D279" s="153" t="s">
        <v>486</v>
      </c>
      <c r="E279" s="154"/>
      <c r="F279" s="153">
        <v>5</v>
      </c>
      <c r="G279" s="179">
        <v>18</v>
      </c>
      <c r="H279" s="135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</row>
    <row r="280" spans="1:29" ht="15.75">
      <c r="A280" s="176" t="s">
        <v>519</v>
      </c>
      <c r="B280" s="137"/>
      <c r="C280" s="176" t="s">
        <v>200</v>
      </c>
      <c r="D280" s="136" t="s">
        <v>513</v>
      </c>
      <c r="E280" s="137"/>
      <c r="F280" s="136">
        <v>25</v>
      </c>
      <c r="G280" s="138">
        <v>25</v>
      </c>
      <c r="H280" s="135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  <c r="AA280" s="72"/>
      <c r="AB280" s="72"/>
      <c r="AC280" s="72"/>
    </row>
    <row r="281" spans="1:29" ht="15.75">
      <c r="A281" s="176" t="s">
        <v>519</v>
      </c>
      <c r="B281" s="137"/>
      <c r="C281" s="176" t="s">
        <v>200</v>
      </c>
      <c r="D281" s="136" t="s">
        <v>486</v>
      </c>
      <c r="E281" s="137"/>
      <c r="F281" s="136">
        <v>6</v>
      </c>
      <c r="G281" s="138">
        <v>15</v>
      </c>
      <c r="H281" s="135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  <c r="AA281" s="72"/>
      <c r="AB281" s="72"/>
      <c r="AC281" s="72"/>
    </row>
    <row r="282" spans="1:29" ht="15.75">
      <c r="A282" s="176" t="s">
        <v>519</v>
      </c>
      <c r="B282" s="137"/>
      <c r="C282" s="176" t="s">
        <v>200</v>
      </c>
      <c r="D282" s="136" t="s">
        <v>466</v>
      </c>
      <c r="E282" s="137"/>
      <c r="F282" s="136">
        <v>162</v>
      </c>
      <c r="G282" s="138">
        <v>175</v>
      </c>
      <c r="H282" s="135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</row>
    <row r="283" spans="1:29" ht="15.75">
      <c r="A283" s="176" t="s">
        <v>519</v>
      </c>
      <c r="B283" s="137"/>
      <c r="C283" s="176" t="s">
        <v>200</v>
      </c>
      <c r="D283" s="176" t="s">
        <v>468</v>
      </c>
      <c r="E283" s="137"/>
      <c r="F283" s="176">
        <v>766</v>
      </c>
      <c r="G283" s="177">
        <v>885</v>
      </c>
      <c r="H283" s="135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</row>
    <row r="284" spans="1:29" ht="15.75">
      <c r="A284" s="176" t="s">
        <v>519</v>
      </c>
      <c r="B284" s="137"/>
      <c r="C284" s="176" t="s">
        <v>200</v>
      </c>
      <c r="D284" s="176" t="s">
        <v>474</v>
      </c>
      <c r="E284" s="137"/>
      <c r="F284" s="176">
        <v>249</v>
      </c>
      <c r="G284" s="177">
        <v>300</v>
      </c>
      <c r="H284" s="135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  <c r="AA284" s="72"/>
      <c r="AB284" s="72"/>
      <c r="AC284" s="72"/>
    </row>
    <row r="285" spans="1:29" ht="15.75">
      <c r="A285" s="176" t="s">
        <v>519</v>
      </c>
      <c r="B285" s="137"/>
      <c r="C285" s="176" t="s">
        <v>200</v>
      </c>
      <c r="D285" s="136" t="s">
        <v>494</v>
      </c>
      <c r="E285" s="137"/>
      <c r="F285" s="136">
        <v>51</v>
      </c>
      <c r="G285" s="138">
        <v>102</v>
      </c>
      <c r="H285" s="135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  <c r="AA285" s="72"/>
      <c r="AB285" s="72"/>
      <c r="AC285" s="72"/>
    </row>
    <row r="286" spans="1:29" ht="15.75">
      <c r="A286" s="176" t="s">
        <v>519</v>
      </c>
      <c r="B286" s="137"/>
      <c r="C286" s="176" t="s">
        <v>200</v>
      </c>
      <c r="D286" s="136" t="s">
        <v>479</v>
      </c>
      <c r="E286" s="137"/>
      <c r="F286" s="136">
        <v>33</v>
      </c>
      <c r="G286" s="138">
        <v>99</v>
      </c>
      <c r="H286" s="135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  <c r="AA286" s="72"/>
      <c r="AB286" s="72"/>
      <c r="AC286" s="72"/>
    </row>
    <row r="287" spans="1:29" ht="15.75">
      <c r="A287" s="176" t="s">
        <v>519</v>
      </c>
      <c r="B287" s="137"/>
      <c r="C287" s="176" t="s">
        <v>200</v>
      </c>
      <c r="D287" s="176" t="s">
        <v>505</v>
      </c>
      <c r="E287" s="137"/>
      <c r="F287" s="176">
        <v>65</v>
      </c>
      <c r="G287" s="177">
        <v>39</v>
      </c>
      <c r="H287" s="135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  <c r="AA287" s="72"/>
      <c r="AB287" s="72"/>
      <c r="AC287" s="72"/>
    </row>
    <row r="288" spans="1:29" ht="15.75">
      <c r="A288" s="176" t="s">
        <v>519</v>
      </c>
      <c r="B288" s="137"/>
      <c r="C288" s="176" t="s">
        <v>200</v>
      </c>
      <c r="D288" s="176" t="s">
        <v>464</v>
      </c>
      <c r="E288" s="137"/>
      <c r="F288" s="176">
        <v>109</v>
      </c>
      <c r="G288" s="177">
        <v>218</v>
      </c>
      <c r="H288" s="135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  <c r="AA288" s="72"/>
      <c r="AB288" s="72"/>
      <c r="AC288" s="72"/>
    </row>
    <row r="289" spans="1:29" ht="15.75">
      <c r="A289" s="176" t="s">
        <v>519</v>
      </c>
      <c r="B289" s="137"/>
      <c r="C289" s="176" t="s">
        <v>200</v>
      </c>
      <c r="D289" s="176" t="s">
        <v>481</v>
      </c>
      <c r="E289" s="137"/>
      <c r="F289" s="176">
        <v>166</v>
      </c>
      <c r="G289" s="177">
        <v>114.8</v>
      </c>
      <c r="H289" s="135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  <c r="AA289" s="72"/>
      <c r="AB289" s="72"/>
      <c r="AC289" s="72"/>
    </row>
    <row r="290" spans="1:29" ht="15.75">
      <c r="A290" s="176" t="s">
        <v>519</v>
      </c>
      <c r="B290" s="137"/>
      <c r="C290" s="176" t="s">
        <v>200</v>
      </c>
      <c r="D290" s="176" t="s">
        <v>508</v>
      </c>
      <c r="E290" s="137"/>
      <c r="F290" s="176">
        <v>30</v>
      </c>
      <c r="G290" s="177">
        <v>75</v>
      </c>
      <c r="H290" s="135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  <c r="AA290" s="72"/>
      <c r="AB290" s="72"/>
      <c r="AC290" s="72"/>
    </row>
    <row r="291" spans="1:29" ht="15.75">
      <c r="A291" s="176" t="s">
        <v>519</v>
      </c>
      <c r="B291" s="137"/>
      <c r="C291" s="176" t="s">
        <v>200</v>
      </c>
      <c r="D291" s="176" t="s">
        <v>510</v>
      </c>
      <c r="E291" s="137"/>
      <c r="F291" s="176">
        <v>100</v>
      </c>
      <c r="G291" s="177">
        <v>125</v>
      </c>
      <c r="H291" s="135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</row>
    <row r="292" spans="1:29" ht="15.75">
      <c r="A292" s="176" t="s">
        <v>519</v>
      </c>
      <c r="B292" s="137"/>
      <c r="C292" s="176" t="s">
        <v>200</v>
      </c>
      <c r="D292" s="176" t="s">
        <v>509</v>
      </c>
      <c r="E292" s="137"/>
      <c r="F292" s="176">
        <v>100</v>
      </c>
      <c r="G292" s="177">
        <v>100</v>
      </c>
      <c r="H292" s="135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2"/>
      <c r="AA292" s="72"/>
      <c r="AB292" s="72"/>
      <c r="AC292" s="72"/>
    </row>
    <row r="293" spans="1:29" ht="15.75">
      <c r="A293" s="180" t="s">
        <v>520</v>
      </c>
      <c r="B293" s="181"/>
      <c r="C293" s="180" t="s">
        <v>200</v>
      </c>
      <c r="D293" s="180" t="s">
        <v>521</v>
      </c>
      <c r="E293" s="181"/>
      <c r="F293" s="180">
        <v>60</v>
      </c>
      <c r="G293" s="182">
        <v>120</v>
      </c>
      <c r="H293" s="139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</row>
    <row r="294" spans="1:29" ht="15.75">
      <c r="A294" s="180" t="s">
        <v>520</v>
      </c>
      <c r="B294" s="181"/>
      <c r="C294" s="180" t="s">
        <v>200</v>
      </c>
      <c r="D294" s="180" t="s">
        <v>492</v>
      </c>
      <c r="E294" s="181"/>
      <c r="F294" s="180">
        <v>152</v>
      </c>
      <c r="G294" s="182">
        <v>183</v>
      </c>
      <c r="H294" s="139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  <c r="AA294" s="72"/>
      <c r="AB294" s="72"/>
      <c r="AC294" s="72"/>
    </row>
    <row r="295" spans="1:29" ht="15.75">
      <c r="A295" s="180" t="s">
        <v>520</v>
      </c>
      <c r="B295" s="181"/>
      <c r="C295" s="180" t="s">
        <v>200</v>
      </c>
      <c r="D295" s="180" t="s">
        <v>468</v>
      </c>
      <c r="E295" s="181"/>
      <c r="F295" s="180">
        <v>60</v>
      </c>
      <c r="G295" s="182">
        <v>60</v>
      </c>
      <c r="H295" s="139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  <c r="AA295" s="72"/>
      <c r="AB295" s="72"/>
      <c r="AC295" s="72"/>
    </row>
    <row r="296" spans="1:29" ht="15.75">
      <c r="A296" s="180" t="s">
        <v>520</v>
      </c>
      <c r="B296" s="181"/>
      <c r="C296" s="180" t="s">
        <v>200</v>
      </c>
      <c r="D296" s="180" t="s">
        <v>481</v>
      </c>
      <c r="E296" s="181"/>
      <c r="F296" s="180">
        <v>15</v>
      </c>
      <c r="G296" s="182">
        <v>11</v>
      </c>
      <c r="H296" s="139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</row>
    <row r="297" spans="1:29" ht="15.75">
      <c r="A297" s="170" t="s">
        <v>522</v>
      </c>
      <c r="B297" s="183"/>
      <c r="C297" s="170" t="s">
        <v>200</v>
      </c>
      <c r="D297" s="170" t="s">
        <v>481</v>
      </c>
      <c r="E297" s="184"/>
      <c r="F297" s="185">
        <v>380</v>
      </c>
      <c r="G297" s="172">
        <v>228</v>
      </c>
      <c r="H297" s="8"/>
    </row>
    <row r="298" spans="1:29" ht="15.75">
      <c r="A298" s="170" t="s">
        <v>522</v>
      </c>
      <c r="B298" s="183"/>
      <c r="C298" s="170" t="s">
        <v>200</v>
      </c>
      <c r="D298" s="170" t="s">
        <v>509</v>
      </c>
      <c r="E298" s="184"/>
      <c r="F298" s="185">
        <v>180</v>
      </c>
      <c r="G298" s="172">
        <v>180</v>
      </c>
      <c r="H298" s="8"/>
    </row>
    <row r="299" spans="1:29" ht="15.75">
      <c r="A299" s="170" t="s">
        <v>522</v>
      </c>
      <c r="B299" s="183"/>
      <c r="C299" s="170" t="s">
        <v>200</v>
      </c>
      <c r="D299" s="170" t="s">
        <v>510</v>
      </c>
      <c r="E299" s="184"/>
      <c r="F299" s="185">
        <v>310</v>
      </c>
      <c r="G299" s="172">
        <v>387.5</v>
      </c>
      <c r="H299" s="8"/>
    </row>
    <row r="300" spans="1:29" ht="15.75">
      <c r="A300" s="170" t="s">
        <v>522</v>
      </c>
      <c r="B300" s="183"/>
      <c r="C300" s="170" t="s">
        <v>200</v>
      </c>
      <c r="D300" s="170" t="s">
        <v>492</v>
      </c>
      <c r="E300" s="184"/>
      <c r="F300" s="185">
        <v>100</v>
      </c>
      <c r="G300" s="172">
        <v>0</v>
      </c>
      <c r="H300" s="8"/>
    </row>
    <row r="301" spans="1:29" ht="15.75">
      <c r="A301" s="170" t="s">
        <v>522</v>
      </c>
      <c r="B301" s="183"/>
      <c r="C301" s="170" t="s">
        <v>200</v>
      </c>
      <c r="D301" s="170" t="s">
        <v>468</v>
      </c>
      <c r="E301" s="184"/>
      <c r="F301" s="185">
        <v>1800</v>
      </c>
      <c r="G301" s="172">
        <v>1800</v>
      </c>
      <c r="H301" s="8"/>
    </row>
    <row r="302" spans="1:29" ht="15.75">
      <c r="A302" s="170" t="s">
        <v>522</v>
      </c>
      <c r="B302" s="183"/>
      <c r="C302" s="170" t="s">
        <v>200</v>
      </c>
      <c r="D302" s="170" t="s">
        <v>523</v>
      </c>
      <c r="E302" s="184"/>
      <c r="F302" s="185">
        <v>200</v>
      </c>
      <c r="G302" s="172">
        <v>200</v>
      </c>
      <c r="H302" s="8"/>
    </row>
    <row r="303" spans="1:29" ht="15.75">
      <c r="A303" s="170" t="s">
        <v>522</v>
      </c>
      <c r="B303" s="183"/>
      <c r="C303" s="170" t="s">
        <v>200</v>
      </c>
      <c r="D303" s="170" t="s">
        <v>466</v>
      </c>
      <c r="E303" s="184"/>
      <c r="F303" s="185">
        <v>200</v>
      </c>
      <c r="G303" s="172">
        <v>200</v>
      </c>
      <c r="H303" s="8"/>
    </row>
    <row r="304" spans="1:29" ht="15.75">
      <c r="A304" s="170" t="s">
        <v>522</v>
      </c>
      <c r="B304" s="183"/>
      <c r="C304" s="170" t="s">
        <v>200</v>
      </c>
      <c r="D304" s="170" t="s">
        <v>494</v>
      </c>
      <c r="E304" s="184"/>
      <c r="F304" s="185">
        <v>100</v>
      </c>
      <c r="G304" s="172">
        <v>100</v>
      </c>
      <c r="H304" s="8"/>
    </row>
    <row r="305" spans="1:8" ht="15.75">
      <c r="A305" s="140" t="s">
        <v>524</v>
      </c>
      <c r="B305" s="186"/>
      <c r="C305" s="140" t="s">
        <v>200</v>
      </c>
      <c r="D305" s="140" t="s">
        <v>468</v>
      </c>
      <c r="E305" s="187"/>
      <c r="F305" s="188">
        <v>1300</v>
      </c>
      <c r="G305" s="142">
        <v>1300</v>
      </c>
      <c r="H305" s="113"/>
    </row>
    <row r="306" spans="1:8" ht="15.75">
      <c r="A306" s="140" t="s">
        <v>524</v>
      </c>
      <c r="B306" s="186"/>
      <c r="C306" s="140" t="s">
        <v>200</v>
      </c>
      <c r="D306" s="140" t="s">
        <v>492</v>
      </c>
      <c r="E306" s="187"/>
      <c r="F306" s="188">
        <v>100</v>
      </c>
      <c r="G306" s="142">
        <v>100</v>
      </c>
      <c r="H306" s="113"/>
    </row>
    <row r="307" spans="1:8" ht="15.75">
      <c r="A307" s="140" t="s">
        <v>524</v>
      </c>
      <c r="B307" s="186"/>
      <c r="C307" s="140" t="s">
        <v>200</v>
      </c>
      <c r="D307" s="140" t="s">
        <v>494</v>
      </c>
      <c r="E307" s="187"/>
      <c r="F307" s="188">
        <v>100</v>
      </c>
      <c r="G307" s="142">
        <v>100</v>
      </c>
      <c r="H307" s="113"/>
    </row>
    <row r="308" spans="1:8" ht="15.75">
      <c r="A308" s="140" t="s">
        <v>524</v>
      </c>
      <c r="B308" s="186"/>
      <c r="C308" s="140" t="s">
        <v>200</v>
      </c>
      <c r="D308" s="140" t="s">
        <v>466</v>
      </c>
      <c r="E308" s="187"/>
      <c r="F308" s="188">
        <v>300</v>
      </c>
      <c r="G308" s="142">
        <v>300</v>
      </c>
      <c r="H308" s="113"/>
    </row>
    <row r="309" spans="1:8" ht="15.75">
      <c r="A309" s="189" t="s">
        <v>199</v>
      </c>
      <c r="B309" s="190"/>
      <c r="C309" s="189" t="s">
        <v>200</v>
      </c>
      <c r="D309" s="189" t="s">
        <v>500</v>
      </c>
      <c r="E309" s="191"/>
      <c r="F309" s="192">
        <v>1060</v>
      </c>
      <c r="G309" s="193">
        <v>1325</v>
      </c>
      <c r="H309" s="113"/>
    </row>
    <row r="310" spans="1:8" ht="15.75">
      <c r="A310" s="189" t="s">
        <v>199</v>
      </c>
      <c r="B310" s="190"/>
      <c r="C310" s="189" t="s">
        <v>200</v>
      </c>
      <c r="D310" s="189" t="s">
        <v>525</v>
      </c>
      <c r="E310" s="191"/>
      <c r="F310" s="192">
        <v>105</v>
      </c>
      <c r="G310" s="193">
        <v>73.5</v>
      </c>
      <c r="H310" s="113"/>
    </row>
    <row r="311" spans="1:8" ht="15.75">
      <c r="A311" s="189" t="s">
        <v>199</v>
      </c>
      <c r="B311" s="190"/>
      <c r="C311" s="189" t="s">
        <v>200</v>
      </c>
      <c r="D311" s="189" t="s">
        <v>509</v>
      </c>
      <c r="E311" s="191"/>
      <c r="F311" s="192">
        <v>130</v>
      </c>
      <c r="G311" s="193">
        <v>130</v>
      </c>
      <c r="H311" s="113"/>
    </row>
    <row r="312" spans="1:8" ht="15.75">
      <c r="A312" s="189" t="s">
        <v>199</v>
      </c>
      <c r="B312" s="190"/>
      <c r="C312" s="189" t="s">
        <v>200</v>
      </c>
      <c r="D312" s="189" t="s">
        <v>510</v>
      </c>
      <c r="E312" s="191"/>
      <c r="F312" s="192">
        <v>335</v>
      </c>
      <c r="G312" s="193">
        <v>418.75</v>
      </c>
      <c r="H312" s="113"/>
    </row>
    <row r="313" spans="1:8" ht="15.75">
      <c r="A313" s="189" t="s">
        <v>199</v>
      </c>
      <c r="B313" s="190"/>
      <c r="C313" s="189" t="s">
        <v>200</v>
      </c>
      <c r="D313" s="189" t="s">
        <v>492</v>
      </c>
      <c r="E313" s="191"/>
      <c r="F313" s="192">
        <v>160</v>
      </c>
      <c r="G313" s="193">
        <v>160</v>
      </c>
      <c r="H313" s="113"/>
    </row>
    <row r="314" spans="1:8" ht="15.75">
      <c r="A314" s="2"/>
      <c r="B314" s="106"/>
      <c r="C314" s="2"/>
      <c r="D314" s="2"/>
      <c r="E314" s="4"/>
      <c r="F314" s="5"/>
      <c r="G314" s="6"/>
      <c r="H314" s="2"/>
    </row>
    <row r="315" spans="1:8" ht="15.75">
      <c r="A315" s="2" t="s">
        <v>526</v>
      </c>
      <c r="B315" s="106"/>
      <c r="C315" s="2"/>
      <c r="D315" s="2"/>
      <c r="E315" s="4"/>
      <c r="F315" s="5"/>
      <c r="G315" s="6"/>
      <c r="H315" s="2"/>
    </row>
    <row r="316" spans="1:8" ht="15.75">
      <c r="A316" s="2"/>
      <c r="B316" s="106"/>
      <c r="C316" s="2"/>
      <c r="D316" s="2"/>
      <c r="E316" s="4"/>
      <c r="F316" s="5"/>
      <c r="G316" s="6"/>
      <c r="H316" s="2"/>
    </row>
    <row r="317" spans="1:8" ht="15.75">
      <c r="A317" s="2"/>
      <c r="B317" s="106"/>
      <c r="C317" s="2"/>
      <c r="D317" s="2"/>
      <c r="E317" s="4"/>
      <c r="F317" s="5"/>
      <c r="G317" s="6"/>
      <c r="H317" s="2"/>
    </row>
    <row r="318" spans="1:8" ht="15.75">
      <c r="A318" s="2"/>
      <c r="B318" s="106"/>
      <c r="C318" s="2"/>
      <c r="D318" s="2"/>
      <c r="E318" s="4"/>
      <c r="F318" s="5"/>
      <c r="G318" s="6"/>
      <c r="H318" s="2"/>
    </row>
    <row r="319" spans="1:8" ht="15.75">
      <c r="A319" s="2"/>
      <c r="B319" s="106"/>
      <c r="C319" s="2"/>
      <c r="D319" s="2"/>
      <c r="E319" s="4"/>
      <c r="F319" s="5"/>
      <c r="G319" s="6"/>
      <c r="H319" s="2"/>
    </row>
    <row r="320" spans="1:8" ht="15.75">
      <c r="A320" s="2"/>
      <c r="B320" s="106"/>
      <c r="C320" s="2"/>
      <c r="D320" s="2"/>
      <c r="E320" s="4"/>
      <c r="F320" s="5"/>
      <c r="G320" s="6"/>
      <c r="H320" s="2"/>
    </row>
    <row r="321" spans="1:8" ht="15.75">
      <c r="A321" s="2"/>
      <c r="B321" s="106"/>
      <c r="C321" s="2"/>
      <c r="D321" s="2"/>
      <c r="E321" s="4"/>
      <c r="F321" s="5"/>
      <c r="G321" s="6"/>
      <c r="H321" s="2"/>
    </row>
    <row r="322" spans="1:8" ht="15.75">
      <c r="A322" s="2"/>
      <c r="B322" s="106"/>
      <c r="C322" s="2"/>
      <c r="D322" s="2"/>
      <c r="E322" s="4"/>
      <c r="F322" s="5"/>
      <c r="G322" s="6"/>
      <c r="H322" s="2"/>
    </row>
    <row r="323" spans="1:8" ht="15.75">
      <c r="A323" s="2"/>
      <c r="B323" s="106"/>
      <c r="C323" s="2"/>
      <c r="D323" s="2"/>
      <c r="E323" s="4"/>
      <c r="F323" s="5"/>
      <c r="G323" s="6"/>
      <c r="H323" s="2"/>
    </row>
    <row r="324" spans="1:8" ht="15.75">
      <c r="A324" s="2"/>
      <c r="B324" s="106"/>
      <c r="C324" s="2"/>
      <c r="D324" s="2"/>
      <c r="E324" s="4"/>
      <c r="F324" s="5"/>
      <c r="G324" s="6"/>
      <c r="H324" s="2"/>
    </row>
    <row r="325" spans="1:8" ht="15.75">
      <c r="A325" s="2"/>
      <c r="B325" s="106"/>
      <c r="C325" s="2"/>
      <c r="D325" s="2"/>
      <c r="E325" s="4"/>
      <c r="F325" s="5"/>
      <c r="G325" s="6"/>
      <c r="H325" s="2"/>
    </row>
    <row r="326" spans="1:8" ht="15.75">
      <c r="A326" s="2"/>
      <c r="B326" s="106"/>
      <c r="C326" s="2"/>
      <c r="D326" s="2"/>
      <c r="E326" s="4"/>
      <c r="F326" s="5"/>
      <c r="G326" s="6"/>
      <c r="H326" s="2"/>
    </row>
    <row r="327" spans="1:8" ht="15.75">
      <c r="A327" s="2"/>
      <c r="B327" s="106"/>
      <c r="C327" s="2"/>
      <c r="D327" s="2"/>
      <c r="E327" s="4"/>
      <c r="F327" s="5"/>
      <c r="G327" s="6"/>
      <c r="H327" s="2"/>
    </row>
    <row r="328" spans="1:8" ht="15.75">
      <c r="A328" s="2"/>
      <c r="B328" s="106"/>
      <c r="C328" s="2"/>
      <c r="D328" s="2"/>
      <c r="E328" s="4"/>
      <c r="F328" s="5"/>
      <c r="G328" s="6"/>
      <c r="H328" s="2"/>
    </row>
    <row r="329" spans="1:8" ht="15.75">
      <c r="A329" s="2"/>
      <c r="B329" s="106"/>
      <c r="C329" s="2"/>
      <c r="D329" s="2"/>
      <c r="E329" s="4"/>
      <c r="F329" s="5"/>
      <c r="G329" s="6"/>
      <c r="H329" s="2"/>
    </row>
    <row r="330" spans="1:8" ht="15.75">
      <c r="A330" s="2"/>
      <c r="B330" s="106"/>
      <c r="C330" s="2"/>
      <c r="D330" s="2"/>
      <c r="E330" s="4"/>
      <c r="F330" s="5"/>
      <c r="G330" s="6"/>
      <c r="H330" s="2"/>
    </row>
    <row r="331" spans="1:8" ht="15.75">
      <c r="A331" s="2"/>
      <c r="B331" s="106"/>
      <c r="C331" s="2"/>
      <c r="D331" s="2"/>
      <c r="E331" s="4"/>
      <c r="F331" s="5"/>
      <c r="G331" s="6"/>
      <c r="H331" s="2"/>
    </row>
    <row r="332" spans="1:8" ht="15.75">
      <c r="A332" s="2"/>
      <c r="B332" s="106"/>
      <c r="C332" s="2"/>
      <c r="D332" s="2"/>
      <c r="E332" s="4"/>
      <c r="F332" s="5"/>
      <c r="G332" s="6"/>
      <c r="H332" s="2"/>
    </row>
    <row r="333" spans="1:8" ht="15.75">
      <c r="A333" s="2"/>
      <c r="B333" s="106"/>
      <c r="C333" s="2"/>
      <c r="D333" s="2"/>
      <c r="E333" s="4"/>
      <c r="F333" s="5"/>
      <c r="G333" s="6"/>
      <c r="H333" s="2"/>
    </row>
    <row r="334" spans="1:8" ht="15.75">
      <c r="A334" s="2"/>
      <c r="B334" s="106"/>
      <c r="C334" s="2"/>
      <c r="D334" s="2"/>
      <c r="E334" s="4"/>
      <c r="F334" s="5"/>
      <c r="G334" s="6"/>
      <c r="H334" s="2"/>
    </row>
    <row r="335" spans="1:8" ht="15.75">
      <c r="A335" s="2"/>
      <c r="B335" s="106"/>
      <c r="C335" s="2"/>
      <c r="D335" s="2"/>
      <c r="E335" s="4"/>
      <c r="F335" s="5"/>
      <c r="G335" s="6"/>
      <c r="H335" s="2"/>
    </row>
    <row r="336" spans="1:8" ht="15.75">
      <c r="A336" s="2"/>
      <c r="B336" s="106"/>
      <c r="C336" s="2"/>
      <c r="D336" s="2"/>
      <c r="E336" s="4"/>
      <c r="F336" s="5"/>
      <c r="G336" s="6"/>
      <c r="H336" s="2"/>
    </row>
    <row r="337" spans="1:8" ht="15.75">
      <c r="A337" s="2"/>
      <c r="B337" s="106"/>
      <c r="C337" s="2"/>
      <c r="D337" s="2"/>
      <c r="E337" s="4"/>
      <c r="F337" s="5"/>
      <c r="G337" s="6"/>
      <c r="H337" s="2"/>
    </row>
    <row r="338" spans="1:8" ht="15.75">
      <c r="A338" s="2"/>
      <c r="B338" s="106"/>
      <c r="C338" s="2"/>
      <c r="D338" s="2"/>
      <c r="E338" s="4"/>
      <c r="F338" s="5"/>
      <c r="G338" s="6"/>
      <c r="H338" s="2"/>
    </row>
    <row r="339" spans="1:8" ht="15.75">
      <c r="A339" s="2"/>
      <c r="B339" s="106"/>
      <c r="C339" s="2"/>
      <c r="D339" s="2"/>
      <c r="E339" s="4"/>
      <c r="F339" s="5"/>
      <c r="G339" s="6"/>
      <c r="H339" s="2"/>
    </row>
    <row r="340" spans="1:8" ht="15.75">
      <c r="A340" s="2"/>
      <c r="B340" s="106"/>
      <c r="C340" s="2"/>
      <c r="D340" s="2"/>
      <c r="E340" s="4"/>
      <c r="F340" s="5"/>
      <c r="G340" s="6"/>
      <c r="H340" s="2"/>
    </row>
    <row r="341" spans="1:8" ht="15.75">
      <c r="A341" s="2"/>
      <c r="B341" s="106"/>
      <c r="C341" s="2"/>
      <c r="D341" s="2"/>
      <c r="E341" s="4"/>
      <c r="F341" s="5"/>
      <c r="G341" s="6"/>
      <c r="H341" s="2"/>
    </row>
    <row r="342" spans="1:8" ht="15.75">
      <c r="A342" s="2"/>
      <c r="B342" s="106"/>
      <c r="C342" s="2"/>
      <c r="D342" s="2"/>
      <c r="E342" s="4"/>
      <c r="F342" s="5"/>
      <c r="G342" s="6"/>
      <c r="H342" s="2"/>
    </row>
    <row r="343" spans="1:8" ht="15.75">
      <c r="A343" s="2"/>
      <c r="B343" s="106"/>
      <c r="C343" s="2"/>
      <c r="D343" s="2"/>
      <c r="E343" s="4"/>
      <c r="F343" s="5"/>
      <c r="G343" s="6"/>
      <c r="H343" s="2"/>
    </row>
    <row r="344" spans="1:8" ht="15.75">
      <c r="A344" s="2"/>
      <c r="B344" s="106"/>
      <c r="C344" s="2"/>
      <c r="D344" s="2"/>
      <c r="E344" s="4"/>
      <c r="F344" s="5"/>
      <c r="G344" s="6"/>
      <c r="H344" s="2"/>
    </row>
    <row r="345" spans="1:8" ht="15.75">
      <c r="A345" s="2"/>
      <c r="B345" s="106"/>
      <c r="C345" s="2"/>
      <c r="D345" s="2"/>
      <c r="E345" s="4"/>
      <c r="F345" s="5"/>
      <c r="G345" s="6"/>
      <c r="H345" s="2"/>
    </row>
    <row r="346" spans="1:8" ht="15.75">
      <c r="A346" s="2"/>
      <c r="B346" s="106"/>
      <c r="C346" s="2"/>
      <c r="D346" s="2"/>
      <c r="E346" s="4"/>
      <c r="F346" s="5"/>
      <c r="G346" s="6"/>
      <c r="H346" s="2"/>
    </row>
    <row r="347" spans="1:8" ht="15.75">
      <c r="A347" s="2"/>
      <c r="B347" s="106"/>
      <c r="C347" s="2"/>
      <c r="D347" s="2"/>
      <c r="E347" s="4"/>
      <c r="F347" s="5"/>
      <c r="G347" s="6"/>
      <c r="H347" s="2"/>
    </row>
    <row r="348" spans="1:8" ht="15.75">
      <c r="A348" s="2"/>
      <c r="B348" s="106"/>
      <c r="C348" s="2"/>
      <c r="D348" s="2"/>
      <c r="E348" s="4"/>
      <c r="F348" s="5"/>
      <c r="G348" s="6"/>
      <c r="H348" s="2"/>
    </row>
    <row r="349" spans="1:8" ht="15.75">
      <c r="A349" s="2"/>
      <c r="B349" s="106"/>
      <c r="C349" s="2"/>
      <c r="D349" s="2"/>
      <c r="E349" s="4"/>
      <c r="F349" s="5"/>
      <c r="G349" s="6"/>
      <c r="H349" s="2"/>
    </row>
    <row r="350" spans="1:8" ht="15.75">
      <c r="A350" s="2"/>
      <c r="B350" s="106"/>
      <c r="C350" s="2"/>
      <c r="D350" s="2"/>
      <c r="E350" s="4"/>
      <c r="F350" s="5"/>
      <c r="G350" s="6"/>
      <c r="H350" s="2"/>
    </row>
    <row r="351" spans="1:8" ht="15.75">
      <c r="A351" s="2"/>
      <c r="B351" s="106"/>
      <c r="C351" s="2"/>
      <c r="D351" s="2"/>
      <c r="E351" s="4"/>
      <c r="F351" s="5"/>
      <c r="G351" s="6"/>
      <c r="H351" s="2"/>
    </row>
    <row r="352" spans="1:8" ht="15.75">
      <c r="A352" s="2"/>
      <c r="B352" s="106"/>
      <c r="C352" s="2"/>
      <c r="D352" s="2"/>
      <c r="E352" s="4"/>
      <c r="F352" s="5"/>
      <c r="G352" s="6"/>
      <c r="H352" s="2"/>
    </row>
    <row r="353" spans="1:8" ht="15.75">
      <c r="A353" s="2"/>
      <c r="B353" s="106"/>
      <c r="C353" s="2"/>
      <c r="D353" s="2"/>
      <c r="E353" s="4"/>
      <c r="F353" s="5"/>
      <c r="G353" s="6"/>
      <c r="H353" s="2"/>
    </row>
    <row r="354" spans="1:8" ht="15.75">
      <c r="A354" s="2"/>
      <c r="B354" s="106"/>
      <c r="C354" s="2"/>
      <c r="D354" s="2"/>
      <c r="E354" s="4"/>
      <c r="F354" s="5"/>
      <c r="G354" s="6"/>
      <c r="H354" s="2"/>
    </row>
    <row r="355" spans="1:8" ht="15.75">
      <c r="A355" s="2"/>
      <c r="B355" s="106"/>
      <c r="C355" s="2"/>
      <c r="D355" s="2"/>
      <c r="E355" s="4"/>
      <c r="F355" s="5"/>
      <c r="G355" s="6"/>
      <c r="H355" s="2"/>
    </row>
    <row r="356" spans="1:8" ht="15.75">
      <c r="A356" s="2"/>
      <c r="B356" s="106"/>
      <c r="C356" s="2"/>
      <c r="D356" s="2"/>
      <c r="E356" s="4"/>
      <c r="F356" s="5"/>
      <c r="G356" s="6"/>
      <c r="H356" s="2"/>
    </row>
    <row r="357" spans="1:8" ht="15.75">
      <c r="A357" s="2"/>
      <c r="B357" s="106"/>
      <c r="C357" s="2"/>
      <c r="D357" s="2"/>
      <c r="E357" s="4"/>
      <c r="F357" s="5"/>
      <c r="G357" s="6"/>
      <c r="H357" s="2"/>
    </row>
    <row r="358" spans="1:8" ht="15.75">
      <c r="A358" s="2"/>
      <c r="B358" s="106"/>
      <c r="C358" s="2"/>
      <c r="D358" s="2"/>
      <c r="E358" s="4"/>
      <c r="F358" s="5"/>
      <c r="G358" s="6"/>
      <c r="H358" s="2"/>
    </row>
    <row r="359" spans="1:8" ht="15.75">
      <c r="A359" s="2"/>
      <c r="B359" s="106"/>
      <c r="C359" s="2"/>
      <c r="D359" s="2"/>
      <c r="E359" s="4"/>
      <c r="F359" s="5"/>
      <c r="G359" s="6"/>
      <c r="H359" s="2"/>
    </row>
    <row r="360" spans="1:8" ht="15.75">
      <c r="A360" s="2"/>
      <c r="B360" s="106"/>
      <c r="C360" s="2"/>
      <c r="D360" s="2"/>
      <c r="E360" s="4"/>
      <c r="F360" s="5"/>
      <c r="G360" s="6"/>
      <c r="H360" s="2"/>
    </row>
    <row r="361" spans="1:8" ht="15.75">
      <c r="A361" s="2"/>
      <c r="B361" s="106"/>
      <c r="C361" s="2"/>
      <c r="D361" s="2"/>
      <c r="E361" s="4"/>
      <c r="F361" s="5"/>
      <c r="G361" s="6"/>
      <c r="H361" s="2"/>
    </row>
    <row r="362" spans="1:8" ht="15.75">
      <c r="A362" s="2"/>
      <c r="B362" s="106"/>
      <c r="C362" s="2"/>
      <c r="D362" s="2"/>
      <c r="E362" s="4"/>
      <c r="F362" s="5"/>
      <c r="G362" s="6"/>
      <c r="H362" s="2"/>
    </row>
    <row r="363" spans="1:8" ht="15.75">
      <c r="A363" s="2"/>
      <c r="B363" s="106"/>
      <c r="C363" s="2"/>
      <c r="D363" s="2"/>
      <c r="E363" s="4"/>
      <c r="F363" s="5"/>
      <c r="G363" s="6"/>
      <c r="H363" s="2"/>
    </row>
    <row r="364" spans="1:8" ht="15.75">
      <c r="A364" s="2"/>
      <c r="B364" s="106"/>
      <c r="C364" s="2"/>
      <c r="D364" s="2"/>
      <c r="E364" s="4"/>
      <c r="F364" s="5"/>
      <c r="G364" s="6"/>
      <c r="H364" s="2"/>
    </row>
    <row r="365" spans="1:8" ht="15.75">
      <c r="A365" s="2"/>
      <c r="B365" s="106"/>
      <c r="C365" s="2"/>
      <c r="D365" s="2"/>
      <c r="E365" s="4"/>
      <c r="F365" s="5"/>
      <c r="G365" s="6"/>
      <c r="H365" s="2"/>
    </row>
    <row r="366" spans="1:8" ht="15.75">
      <c r="A366" s="2"/>
      <c r="B366" s="106"/>
      <c r="C366" s="2"/>
      <c r="D366" s="2"/>
      <c r="E366" s="4"/>
      <c r="F366" s="5"/>
      <c r="G366" s="6"/>
      <c r="H366" s="2"/>
    </row>
    <row r="367" spans="1:8" ht="15.75">
      <c r="A367" s="2"/>
      <c r="B367" s="106"/>
      <c r="C367" s="2"/>
      <c r="D367" s="2"/>
      <c r="E367" s="4"/>
      <c r="F367" s="5"/>
      <c r="G367" s="6"/>
      <c r="H367" s="2"/>
    </row>
    <row r="368" spans="1:8" ht="15.75">
      <c r="A368" s="2"/>
      <c r="B368" s="106"/>
      <c r="C368" s="2"/>
      <c r="D368" s="2"/>
      <c r="E368" s="4"/>
      <c r="F368" s="5"/>
      <c r="G368" s="6"/>
      <c r="H368" s="2"/>
    </row>
    <row r="369" spans="1:8" ht="15.75">
      <c r="A369" s="2"/>
      <c r="B369" s="106"/>
      <c r="C369" s="2"/>
      <c r="D369" s="2"/>
      <c r="E369" s="4"/>
      <c r="F369" s="5"/>
      <c r="G369" s="6"/>
      <c r="H369" s="2"/>
    </row>
    <row r="370" spans="1:8" ht="15.75">
      <c r="A370" s="2"/>
      <c r="B370" s="106"/>
      <c r="C370" s="2"/>
      <c r="D370" s="2"/>
      <c r="E370" s="4"/>
      <c r="F370" s="5"/>
      <c r="G370" s="6"/>
      <c r="H370" s="2"/>
    </row>
    <row r="371" spans="1:8" ht="15.75">
      <c r="A371" s="2"/>
      <c r="B371" s="106"/>
      <c r="C371" s="2"/>
      <c r="D371" s="2"/>
      <c r="E371" s="4"/>
      <c r="F371" s="5"/>
      <c r="G371" s="6"/>
      <c r="H371" s="2"/>
    </row>
    <row r="372" spans="1:8" ht="15.75">
      <c r="A372" s="2"/>
      <c r="B372" s="106"/>
      <c r="C372" s="2"/>
      <c r="D372" s="2"/>
      <c r="E372" s="4"/>
      <c r="F372" s="5"/>
      <c r="G372" s="6"/>
      <c r="H372" s="2"/>
    </row>
    <row r="373" spans="1:8" ht="15.75">
      <c r="A373" s="2"/>
      <c r="B373" s="106"/>
      <c r="C373" s="2"/>
      <c r="D373" s="2"/>
      <c r="E373" s="4"/>
      <c r="F373" s="5"/>
      <c r="G373" s="6"/>
      <c r="H373" s="2"/>
    </row>
    <row r="374" spans="1:8" ht="15.75">
      <c r="A374" s="2"/>
      <c r="B374" s="106"/>
      <c r="C374" s="2"/>
      <c r="D374" s="2"/>
      <c r="E374" s="4"/>
      <c r="F374" s="5"/>
      <c r="G374" s="6"/>
      <c r="H374" s="2"/>
    </row>
    <row r="375" spans="1:8" ht="15.75">
      <c r="A375" s="2"/>
      <c r="B375" s="106"/>
      <c r="C375" s="2"/>
      <c r="D375" s="2"/>
      <c r="E375" s="4"/>
      <c r="F375" s="5"/>
      <c r="G375" s="6"/>
      <c r="H375" s="2"/>
    </row>
    <row r="376" spans="1:8" ht="15.75">
      <c r="A376" s="2"/>
      <c r="B376" s="106"/>
      <c r="C376" s="2"/>
      <c r="D376" s="2"/>
      <c r="E376" s="4"/>
      <c r="F376" s="5"/>
      <c r="G376" s="6"/>
      <c r="H376" s="2"/>
    </row>
    <row r="377" spans="1:8" ht="15.75">
      <c r="A377" s="2"/>
      <c r="B377" s="106"/>
      <c r="C377" s="2"/>
      <c r="D377" s="2"/>
      <c r="E377" s="4"/>
      <c r="F377" s="5"/>
      <c r="G377" s="6"/>
      <c r="H377" s="2"/>
    </row>
    <row r="378" spans="1:8" ht="15.75">
      <c r="A378" s="2"/>
      <c r="B378" s="106"/>
      <c r="C378" s="2"/>
      <c r="D378" s="2"/>
      <c r="E378" s="4"/>
      <c r="F378" s="5"/>
      <c r="G378" s="6"/>
      <c r="H378" s="2"/>
    </row>
    <row r="379" spans="1:8" ht="15.75">
      <c r="A379" s="2"/>
      <c r="B379" s="106"/>
      <c r="C379" s="2"/>
      <c r="D379" s="2"/>
      <c r="E379" s="4"/>
      <c r="F379" s="5"/>
      <c r="G379" s="6"/>
      <c r="H379" s="2"/>
    </row>
    <row r="380" spans="1:8" ht="15.75">
      <c r="A380" s="2"/>
      <c r="B380" s="106"/>
      <c r="C380" s="2"/>
      <c r="D380" s="2"/>
      <c r="E380" s="4"/>
      <c r="F380" s="5"/>
      <c r="G380" s="6"/>
      <c r="H380" s="2"/>
    </row>
    <row r="381" spans="1:8" ht="15.75">
      <c r="A381" s="2"/>
      <c r="B381" s="106"/>
      <c r="C381" s="2"/>
      <c r="D381" s="2"/>
      <c r="E381" s="4"/>
      <c r="F381" s="5"/>
      <c r="G381" s="6"/>
      <c r="H381" s="2"/>
    </row>
    <row r="382" spans="1:8" ht="15.75">
      <c r="A382" s="2"/>
      <c r="B382" s="106"/>
      <c r="C382" s="2"/>
      <c r="D382" s="2"/>
      <c r="E382" s="4"/>
      <c r="F382" s="5"/>
      <c r="G382" s="6"/>
      <c r="H382" s="2"/>
    </row>
    <row r="383" spans="1:8" ht="15.75">
      <c r="A383" s="2"/>
      <c r="B383" s="106"/>
      <c r="C383" s="2"/>
      <c r="D383" s="2"/>
      <c r="E383" s="4"/>
      <c r="F383" s="5"/>
      <c r="G383" s="6"/>
      <c r="H383" s="2"/>
    </row>
    <row r="384" spans="1:8" ht="15.75">
      <c r="A384" s="2"/>
      <c r="B384" s="106"/>
      <c r="C384" s="2"/>
      <c r="D384" s="2"/>
      <c r="E384" s="4"/>
      <c r="F384" s="5"/>
      <c r="G384" s="6"/>
      <c r="H384" s="2"/>
    </row>
    <row r="385" spans="1:8" ht="15.75">
      <c r="A385" s="2"/>
      <c r="B385" s="106"/>
      <c r="C385" s="2"/>
      <c r="D385" s="2"/>
      <c r="E385" s="4"/>
      <c r="F385" s="5"/>
      <c r="G385" s="6"/>
      <c r="H385" s="2"/>
    </row>
    <row r="386" spans="1:8" ht="15.75">
      <c r="A386" s="2"/>
      <c r="B386" s="106"/>
      <c r="C386" s="2"/>
      <c r="D386" s="2"/>
      <c r="E386" s="4"/>
      <c r="F386" s="5"/>
      <c r="G386" s="6"/>
      <c r="H386" s="2"/>
    </row>
    <row r="387" spans="1:8" ht="15.75">
      <c r="A387" s="2"/>
      <c r="B387" s="106"/>
      <c r="C387" s="2"/>
      <c r="D387" s="2"/>
      <c r="E387" s="4"/>
      <c r="F387" s="5"/>
      <c r="G387" s="6"/>
      <c r="H387" s="2"/>
    </row>
    <row r="388" spans="1:8" ht="15.75">
      <c r="A388" s="2"/>
      <c r="B388" s="106"/>
      <c r="C388" s="2"/>
      <c r="D388" s="2"/>
      <c r="E388" s="4"/>
      <c r="F388" s="5"/>
      <c r="G388" s="6"/>
      <c r="H388" s="2"/>
    </row>
    <row r="389" spans="1:8" ht="15.75">
      <c r="A389" s="2"/>
      <c r="B389" s="106"/>
      <c r="C389" s="2"/>
      <c r="D389" s="2"/>
      <c r="E389" s="4"/>
      <c r="F389" s="5"/>
      <c r="G389" s="6"/>
      <c r="H389" s="2"/>
    </row>
    <row r="390" spans="1:8" ht="15.75">
      <c r="A390" s="2"/>
      <c r="B390" s="106"/>
      <c r="C390" s="2"/>
      <c r="D390" s="2"/>
      <c r="E390" s="4"/>
      <c r="F390" s="5"/>
      <c r="G390" s="6"/>
      <c r="H390" s="2"/>
    </row>
    <row r="391" spans="1:8" ht="15.75">
      <c r="A391" s="2"/>
      <c r="B391" s="106"/>
      <c r="C391" s="2"/>
      <c r="D391" s="2"/>
      <c r="E391" s="4"/>
      <c r="F391" s="5"/>
      <c r="G391" s="6"/>
      <c r="H391" s="2"/>
    </row>
    <row r="392" spans="1:8" ht="15.75">
      <c r="A392" s="2"/>
      <c r="B392" s="106"/>
      <c r="C392" s="2"/>
      <c r="D392" s="2"/>
      <c r="E392" s="4"/>
      <c r="F392" s="5"/>
      <c r="G392" s="6"/>
      <c r="H392" s="2"/>
    </row>
    <row r="393" spans="1:8" ht="15.75">
      <c r="A393" s="2"/>
      <c r="B393" s="106"/>
      <c r="C393" s="2"/>
      <c r="D393" s="2"/>
      <c r="E393" s="4"/>
      <c r="F393" s="5"/>
      <c r="G393" s="6"/>
      <c r="H393" s="2"/>
    </row>
    <row r="394" spans="1:8" ht="15.75">
      <c r="A394" s="2"/>
      <c r="B394" s="106"/>
      <c r="C394" s="2"/>
      <c r="D394" s="2"/>
      <c r="E394" s="4"/>
      <c r="F394" s="5"/>
      <c r="G394" s="6"/>
      <c r="H394" s="2"/>
    </row>
    <row r="395" spans="1:8" ht="15.75">
      <c r="A395" s="2"/>
      <c r="B395" s="106"/>
      <c r="C395" s="2"/>
      <c r="D395" s="2"/>
      <c r="E395" s="4"/>
      <c r="F395" s="5"/>
      <c r="G395" s="6"/>
      <c r="H395" s="2"/>
    </row>
    <row r="396" spans="1:8" ht="15.75">
      <c r="A396" s="2"/>
      <c r="B396" s="106"/>
      <c r="C396" s="2"/>
      <c r="D396" s="2"/>
      <c r="E396" s="4"/>
      <c r="F396" s="5"/>
      <c r="G396" s="6"/>
      <c r="H396" s="2"/>
    </row>
    <row r="397" spans="1:8" ht="15.75">
      <c r="A397" s="2"/>
      <c r="B397" s="106"/>
      <c r="C397" s="2"/>
      <c r="D397" s="2"/>
      <c r="E397" s="4"/>
      <c r="F397" s="5"/>
      <c r="G397" s="6"/>
      <c r="H397" s="2"/>
    </row>
    <row r="398" spans="1:8" ht="15.75">
      <c r="A398" s="2"/>
      <c r="B398" s="106"/>
      <c r="C398" s="2"/>
      <c r="D398" s="2"/>
      <c r="E398" s="4"/>
      <c r="F398" s="5"/>
      <c r="G398" s="6"/>
      <c r="H398" s="2"/>
    </row>
    <row r="399" spans="1:8" ht="15.75">
      <c r="A399" s="2"/>
      <c r="B399" s="106"/>
      <c r="C399" s="2"/>
      <c r="D399" s="2"/>
      <c r="E399" s="4"/>
      <c r="F399" s="5"/>
      <c r="G399" s="6"/>
      <c r="H399" s="2"/>
    </row>
    <row r="400" spans="1:8" ht="15.75">
      <c r="A400" s="2"/>
      <c r="B400" s="106"/>
      <c r="C400" s="2"/>
      <c r="D400" s="2"/>
      <c r="E400" s="4"/>
      <c r="F400" s="5"/>
      <c r="G400" s="6"/>
      <c r="H400" s="2"/>
    </row>
    <row r="401" spans="1:8" ht="15.75">
      <c r="A401" s="2"/>
      <c r="B401" s="106"/>
      <c r="C401" s="2"/>
      <c r="D401" s="2"/>
      <c r="E401" s="4"/>
      <c r="F401" s="5"/>
      <c r="G401" s="6"/>
      <c r="H401" s="2"/>
    </row>
    <row r="402" spans="1:8" ht="15.75">
      <c r="A402" s="2"/>
      <c r="B402" s="106"/>
      <c r="C402" s="2"/>
      <c r="D402" s="2"/>
      <c r="E402" s="4"/>
      <c r="F402" s="5"/>
      <c r="G402" s="6"/>
      <c r="H402" s="2"/>
    </row>
    <row r="403" spans="1:8" ht="15.75">
      <c r="A403" s="2"/>
      <c r="B403" s="106"/>
      <c r="C403" s="2"/>
      <c r="D403" s="2"/>
      <c r="E403" s="4"/>
      <c r="F403" s="5"/>
      <c r="G403" s="6"/>
      <c r="H403" s="2"/>
    </row>
    <row r="404" spans="1:8" ht="15.75">
      <c r="A404" s="2"/>
      <c r="B404" s="106"/>
      <c r="C404" s="2"/>
      <c r="D404" s="2"/>
      <c r="E404" s="4"/>
      <c r="F404" s="5"/>
      <c r="G404" s="6"/>
      <c r="H404" s="2"/>
    </row>
    <row r="405" spans="1:8" ht="15.75">
      <c r="A405" s="2"/>
      <c r="B405" s="106"/>
      <c r="C405" s="2"/>
      <c r="D405" s="2"/>
      <c r="E405" s="4"/>
      <c r="F405" s="5"/>
      <c r="G405" s="6"/>
      <c r="H405" s="2"/>
    </row>
    <row r="406" spans="1:8" ht="15.75">
      <c r="A406" s="2"/>
      <c r="B406" s="106"/>
      <c r="C406" s="2"/>
      <c r="D406" s="2"/>
      <c r="E406" s="4"/>
      <c r="F406" s="5"/>
      <c r="G406" s="6"/>
      <c r="H406" s="2"/>
    </row>
    <row r="407" spans="1:8" ht="15.75">
      <c r="A407" s="2"/>
      <c r="B407" s="106"/>
      <c r="C407" s="2"/>
      <c r="D407" s="2"/>
      <c r="E407" s="4"/>
      <c r="F407" s="5"/>
      <c r="G407" s="6"/>
      <c r="H407" s="2"/>
    </row>
    <row r="408" spans="1:8" ht="15.75">
      <c r="A408" s="2"/>
      <c r="B408" s="106"/>
      <c r="C408" s="2"/>
      <c r="D408" s="2"/>
      <c r="E408" s="4"/>
      <c r="F408" s="5"/>
      <c r="G408" s="6"/>
      <c r="H408" s="2"/>
    </row>
    <row r="409" spans="1:8" ht="15.75">
      <c r="A409" s="2"/>
      <c r="B409" s="106"/>
      <c r="C409" s="2"/>
      <c r="D409" s="2"/>
      <c r="E409" s="4"/>
      <c r="F409" s="5"/>
      <c r="G409" s="6"/>
      <c r="H409" s="2"/>
    </row>
    <row r="410" spans="1:8" ht="15.75">
      <c r="A410" s="2"/>
      <c r="B410" s="106"/>
      <c r="C410" s="2"/>
      <c r="D410" s="2"/>
      <c r="E410" s="4"/>
      <c r="F410" s="5"/>
      <c r="G410" s="6"/>
      <c r="H410" s="2"/>
    </row>
    <row r="411" spans="1:8" ht="15.75">
      <c r="A411" s="2"/>
      <c r="B411" s="106"/>
      <c r="C411" s="2"/>
      <c r="D411" s="2"/>
      <c r="E411" s="4"/>
      <c r="F411" s="5"/>
      <c r="G411" s="6"/>
      <c r="H411" s="2"/>
    </row>
    <row r="412" spans="1:8" ht="15.75">
      <c r="A412" s="2"/>
      <c r="B412" s="106"/>
      <c r="C412" s="2"/>
      <c r="D412" s="2"/>
      <c r="E412" s="4"/>
      <c r="F412" s="5"/>
      <c r="G412" s="6"/>
      <c r="H412" s="2"/>
    </row>
    <row r="413" spans="1:8" ht="15.75">
      <c r="A413" s="2"/>
      <c r="B413" s="106"/>
      <c r="C413" s="2"/>
      <c r="D413" s="2"/>
      <c r="E413" s="4"/>
      <c r="F413" s="5"/>
      <c r="G413" s="6"/>
      <c r="H413" s="2"/>
    </row>
    <row r="414" spans="1:8" ht="15.75">
      <c r="A414" s="2"/>
      <c r="B414" s="106"/>
      <c r="C414" s="2"/>
      <c r="D414" s="2"/>
      <c r="E414" s="4"/>
      <c r="F414" s="5"/>
      <c r="G414" s="6"/>
      <c r="H414" s="2"/>
    </row>
    <row r="415" spans="1:8" ht="15.75">
      <c r="A415" s="2"/>
      <c r="B415" s="106"/>
      <c r="C415" s="2"/>
      <c r="D415" s="2"/>
      <c r="E415" s="4"/>
      <c r="F415" s="5"/>
      <c r="G415" s="6"/>
      <c r="H415" s="2"/>
    </row>
    <row r="416" spans="1:8" ht="15.75">
      <c r="A416" s="2"/>
      <c r="B416" s="106"/>
      <c r="C416" s="2"/>
      <c r="D416" s="2"/>
      <c r="E416" s="4"/>
      <c r="F416" s="5"/>
      <c r="G416" s="6"/>
      <c r="H416" s="2"/>
    </row>
    <row r="417" spans="1:8" ht="15.75">
      <c r="A417" s="2"/>
      <c r="B417" s="106"/>
      <c r="C417" s="2"/>
      <c r="D417" s="2"/>
      <c r="E417" s="4"/>
      <c r="F417" s="5"/>
      <c r="G417" s="6"/>
      <c r="H417" s="2"/>
    </row>
    <row r="418" spans="1:8" ht="15.75">
      <c r="A418" s="2"/>
      <c r="B418" s="106"/>
      <c r="C418" s="2"/>
      <c r="D418" s="2"/>
      <c r="E418" s="4"/>
      <c r="F418" s="5"/>
      <c r="G418" s="6"/>
      <c r="H418" s="2"/>
    </row>
    <row r="419" spans="1:8" ht="15.75">
      <c r="A419" s="2"/>
      <c r="B419" s="106"/>
      <c r="C419" s="2"/>
      <c r="D419" s="2"/>
      <c r="E419" s="4"/>
      <c r="F419" s="5"/>
      <c r="G419" s="6"/>
      <c r="H419" s="2"/>
    </row>
    <row r="420" spans="1:8" ht="15.75">
      <c r="A420" s="2"/>
      <c r="B420" s="106"/>
      <c r="C420" s="2"/>
      <c r="D420" s="2"/>
      <c r="E420" s="4"/>
      <c r="F420" s="5"/>
      <c r="G420" s="6"/>
      <c r="H420" s="2"/>
    </row>
    <row r="421" spans="1:8" ht="15.75">
      <c r="A421" s="2"/>
      <c r="B421" s="106"/>
      <c r="C421" s="2"/>
      <c r="D421" s="2"/>
      <c r="E421" s="4"/>
      <c r="F421" s="5"/>
      <c r="G421" s="6"/>
      <c r="H421" s="2"/>
    </row>
    <row r="422" spans="1:8" ht="15.75">
      <c r="A422" s="2"/>
      <c r="B422" s="106"/>
      <c r="C422" s="2"/>
      <c r="D422" s="2"/>
      <c r="E422" s="4"/>
      <c r="F422" s="5"/>
      <c r="G422" s="6"/>
      <c r="H422" s="2"/>
    </row>
    <row r="423" spans="1:8" ht="15.75">
      <c r="A423" s="2"/>
      <c r="B423" s="106"/>
      <c r="C423" s="2"/>
      <c r="D423" s="2"/>
      <c r="E423" s="4"/>
      <c r="F423" s="5"/>
      <c r="G423" s="6"/>
      <c r="H423" s="2"/>
    </row>
    <row r="424" spans="1:8" ht="15.75">
      <c r="A424" s="2"/>
      <c r="B424" s="106"/>
      <c r="C424" s="2"/>
      <c r="D424" s="2"/>
      <c r="E424" s="4"/>
      <c r="F424" s="5"/>
      <c r="G424" s="6"/>
      <c r="H424" s="2"/>
    </row>
    <row r="425" spans="1:8" ht="15.75">
      <c r="A425" s="2"/>
      <c r="B425" s="106"/>
      <c r="C425" s="2"/>
      <c r="D425" s="2"/>
      <c r="E425" s="4"/>
      <c r="F425" s="5"/>
      <c r="G425" s="6"/>
      <c r="H425" s="2"/>
    </row>
    <row r="426" spans="1:8" ht="15.75">
      <c r="A426" s="2"/>
      <c r="B426" s="106"/>
      <c r="C426" s="2"/>
      <c r="D426" s="2"/>
      <c r="E426" s="4"/>
      <c r="F426" s="5"/>
      <c r="G426" s="6"/>
      <c r="H426" s="2"/>
    </row>
    <row r="427" spans="1:8" ht="15.75">
      <c r="A427" s="2"/>
      <c r="B427" s="106"/>
      <c r="C427" s="2"/>
      <c r="D427" s="2"/>
      <c r="E427" s="4"/>
      <c r="F427" s="5"/>
      <c r="G427" s="6"/>
      <c r="H427" s="2"/>
    </row>
    <row r="428" spans="1:8" ht="15.75">
      <c r="A428" s="2"/>
      <c r="B428" s="106"/>
      <c r="C428" s="2"/>
      <c r="D428" s="2"/>
      <c r="E428" s="4"/>
      <c r="F428" s="5"/>
      <c r="G428" s="6"/>
      <c r="H428" s="2"/>
    </row>
    <row r="429" spans="1:8" ht="15.75">
      <c r="A429" s="2"/>
      <c r="B429" s="106"/>
      <c r="C429" s="2"/>
      <c r="D429" s="2"/>
      <c r="E429" s="4"/>
      <c r="F429" s="5"/>
      <c r="G429" s="6"/>
      <c r="H429" s="2"/>
    </row>
    <row r="430" spans="1:8" ht="15.75">
      <c r="A430" s="2"/>
      <c r="B430" s="106"/>
      <c r="C430" s="2"/>
      <c r="D430" s="2"/>
      <c r="E430" s="4"/>
      <c r="F430" s="5"/>
      <c r="G430" s="6"/>
      <c r="H430" s="2"/>
    </row>
    <row r="431" spans="1:8" ht="15.75">
      <c r="A431" s="2"/>
      <c r="B431" s="106"/>
      <c r="C431" s="2"/>
      <c r="D431" s="2"/>
      <c r="E431" s="4"/>
      <c r="F431" s="5"/>
      <c r="G431" s="6"/>
      <c r="H431" s="2"/>
    </row>
    <row r="432" spans="1:8" ht="15.75">
      <c r="A432" s="2"/>
      <c r="B432" s="106"/>
      <c r="C432" s="2"/>
      <c r="D432" s="2"/>
      <c r="E432" s="4"/>
      <c r="F432" s="5"/>
      <c r="G432" s="6"/>
      <c r="H432" s="2"/>
    </row>
    <row r="433" spans="1:8" ht="15.75">
      <c r="A433" s="2"/>
      <c r="B433" s="106"/>
      <c r="C433" s="2"/>
      <c r="D433" s="2"/>
      <c r="E433" s="4"/>
      <c r="F433" s="5"/>
      <c r="G433" s="6"/>
      <c r="H433" s="2"/>
    </row>
    <row r="434" spans="1:8" ht="15.75">
      <c r="A434" s="2"/>
      <c r="B434" s="106"/>
      <c r="C434" s="2"/>
      <c r="D434" s="2"/>
      <c r="E434" s="4"/>
      <c r="F434" s="5"/>
      <c r="G434" s="6"/>
      <c r="H434" s="2"/>
    </row>
    <row r="435" spans="1:8" ht="15.75">
      <c r="A435" s="2"/>
      <c r="B435" s="106"/>
      <c r="C435" s="2"/>
      <c r="D435" s="2"/>
      <c r="E435" s="4"/>
      <c r="F435" s="5"/>
      <c r="G435" s="6"/>
      <c r="H435" s="2"/>
    </row>
    <row r="436" spans="1:8" ht="15.75">
      <c r="A436" s="2"/>
      <c r="B436" s="106"/>
      <c r="C436" s="2"/>
      <c r="D436" s="2"/>
      <c r="E436" s="4"/>
      <c r="F436" s="5"/>
      <c r="G436" s="6"/>
      <c r="H436" s="2"/>
    </row>
    <row r="437" spans="1:8" ht="15.75">
      <c r="A437" s="2"/>
      <c r="B437" s="106"/>
      <c r="C437" s="2"/>
      <c r="D437" s="2"/>
      <c r="E437" s="4"/>
      <c r="F437" s="5"/>
      <c r="G437" s="6"/>
      <c r="H437" s="2"/>
    </row>
    <row r="438" spans="1:8" ht="15.75">
      <c r="A438" s="2"/>
      <c r="B438" s="106"/>
      <c r="C438" s="2"/>
      <c r="D438" s="2"/>
      <c r="E438" s="4"/>
      <c r="F438" s="5"/>
      <c r="G438" s="6"/>
      <c r="H438" s="2"/>
    </row>
    <row r="439" spans="1:8" ht="15.75">
      <c r="A439" s="2"/>
      <c r="B439" s="106"/>
      <c r="C439" s="2"/>
      <c r="D439" s="2"/>
      <c r="E439" s="4"/>
      <c r="F439" s="5"/>
      <c r="G439" s="6"/>
      <c r="H439" s="2"/>
    </row>
    <row r="440" spans="1:8" ht="15.75">
      <c r="A440" s="2"/>
      <c r="B440" s="106"/>
      <c r="C440" s="2"/>
      <c r="D440" s="2"/>
      <c r="E440" s="4"/>
      <c r="F440" s="5"/>
      <c r="G440" s="6"/>
      <c r="H440" s="2"/>
    </row>
    <row r="441" spans="1:8" ht="15.75">
      <c r="A441" s="2"/>
      <c r="B441" s="106"/>
      <c r="C441" s="2"/>
      <c r="D441" s="2"/>
      <c r="E441" s="4"/>
      <c r="F441" s="5"/>
      <c r="G441" s="6"/>
      <c r="H441" s="2"/>
    </row>
    <row r="442" spans="1:8" ht="15.75">
      <c r="A442" s="2"/>
      <c r="B442" s="106"/>
      <c r="C442" s="2"/>
      <c r="D442" s="2"/>
      <c r="E442" s="4"/>
      <c r="F442" s="5"/>
      <c r="G442" s="6"/>
      <c r="H442" s="2"/>
    </row>
    <row r="443" spans="1:8" ht="15.75">
      <c r="A443" s="2"/>
      <c r="B443" s="106"/>
      <c r="C443" s="2"/>
      <c r="D443" s="2"/>
      <c r="E443" s="4"/>
      <c r="F443" s="5"/>
      <c r="G443" s="6"/>
      <c r="H443" s="2"/>
    </row>
    <row r="444" spans="1:8" ht="15.75">
      <c r="A444" s="2"/>
      <c r="B444" s="106"/>
      <c r="C444" s="2"/>
      <c r="D444" s="2"/>
      <c r="E444" s="4"/>
      <c r="F444" s="5"/>
      <c r="G444" s="6"/>
      <c r="H444" s="2"/>
    </row>
    <row r="445" spans="1:8" ht="15.75">
      <c r="A445" s="2"/>
      <c r="B445" s="106"/>
      <c r="C445" s="2"/>
      <c r="D445" s="2"/>
      <c r="E445" s="4"/>
      <c r="F445" s="5"/>
      <c r="G445" s="6"/>
      <c r="H445" s="2"/>
    </row>
    <row r="446" spans="1:8" ht="15.75">
      <c r="A446" s="2"/>
      <c r="B446" s="106"/>
      <c r="C446" s="2"/>
      <c r="D446" s="2"/>
      <c r="E446" s="4"/>
      <c r="F446" s="5"/>
      <c r="G446" s="6"/>
      <c r="H446" s="2"/>
    </row>
    <row r="447" spans="1:8" ht="15.75">
      <c r="A447" s="2"/>
      <c r="B447" s="106"/>
      <c r="C447" s="2"/>
      <c r="D447" s="2"/>
      <c r="E447" s="4"/>
      <c r="F447" s="5"/>
      <c r="G447" s="6"/>
      <c r="H447" s="2"/>
    </row>
    <row r="448" spans="1:8" ht="15.75">
      <c r="A448" s="2"/>
      <c r="B448" s="106"/>
      <c r="C448" s="2"/>
      <c r="D448" s="2"/>
      <c r="E448" s="4"/>
      <c r="F448" s="5"/>
      <c r="G448" s="6"/>
      <c r="H448" s="2"/>
    </row>
    <row r="449" spans="1:8" ht="15.75">
      <c r="A449" s="2"/>
      <c r="B449" s="106"/>
      <c r="C449" s="2"/>
      <c r="D449" s="2"/>
      <c r="E449" s="4"/>
      <c r="F449" s="5"/>
      <c r="G449" s="6"/>
      <c r="H449" s="2"/>
    </row>
    <row r="450" spans="1:8" ht="15.75">
      <c r="A450" s="2"/>
      <c r="B450" s="106"/>
      <c r="C450" s="2"/>
      <c r="D450" s="2"/>
      <c r="E450" s="4"/>
      <c r="F450" s="5"/>
      <c r="G450" s="6"/>
      <c r="H450" s="2"/>
    </row>
    <row r="451" spans="1:8" ht="15.75">
      <c r="A451" s="2"/>
      <c r="B451" s="106"/>
      <c r="C451" s="2"/>
      <c r="D451" s="2"/>
      <c r="E451" s="4"/>
      <c r="F451" s="5"/>
      <c r="G451" s="6"/>
      <c r="H451" s="2"/>
    </row>
    <row r="452" spans="1:8" ht="15.75">
      <c r="A452" s="2"/>
      <c r="B452" s="106"/>
      <c r="C452" s="2"/>
      <c r="D452" s="2"/>
      <c r="E452" s="4"/>
      <c r="F452" s="5"/>
      <c r="G452" s="6"/>
      <c r="H452" s="2"/>
    </row>
    <row r="453" spans="1:8" ht="15.75">
      <c r="A453" s="2"/>
      <c r="B453" s="106"/>
      <c r="C453" s="2"/>
      <c r="D453" s="2"/>
      <c r="E453" s="4"/>
      <c r="F453" s="5"/>
      <c r="G453" s="6"/>
      <c r="H453" s="2"/>
    </row>
    <row r="454" spans="1:8" ht="15.75">
      <c r="A454" s="2"/>
      <c r="B454" s="106"/>
      <c r="C454" s="2"/>
      <c r="D454" s="2"/>
      <c r="E454" s="4"/>
      <c r="F454" s="5"/>
      <c r="G454" s="6"/>
      <c r="H454" s="2"/>
    </row>
    <row r="455" spans="1:8" ht="15.75">
      <c r="A455" s="2"/>
      <c r="B455" s="106"/>
      <c r="C455" s="2"/>
      <c r="D455" s="2"/>
      <c r="E455" s="4"/>
      <c r="F455" s="5"/>
      <c r="G455" s="6"/>
      <c r="H455" s="2"/>
    </row>
    <row r="456" spans="1:8" ht="15.75">
      <c r="A456" s="2"/>
      <c r="B456" s="106"/>
      <c r="C456" s="2"/>
      <c r="D456" s="2"/>
      <c r="E456" s="4"/>
      <c r="F456" s="5"/>
      <c r="G456" s="6"/>
      <c r="H456" s="2"/>
    </row>
    <row r="457" spans="1:8" ht="15.75">
      <c r="A457" s="2"/>
      <c r="B457" s="106"/>
      <c r="C457" s="2"/>
      <c r="D457" s="2"/>
      <c r="E457" s="4"/>
      <c r="F457" s="5"/>
      <c r="G457" s="6"/>
      <c r="H457" s="2"/>
    </row>
    <row r="458" spans="1:8" ht="15.75">
      <c r="A458" s="2"/>
      <c r="B458" s="106"/>
      <c r="C458" s="2"/>
      <c r="D458" s="2"/>
      <c r="E458" s="4"/>
      <c r="F458" s="5"/>
      <c r="G458" s="6"/>
      <c r="H458" s="2"/>
    </row>
    <row r="459" spans="1:8" ht="15.75">
      <c r="A459" s="2"/>
      <c r="B459" s="106"/>
      <c r="C459" s="2"/>
      <c r="D459" s="2"/>
      <c r="E459" s="4"/>
      <c r="F459" s="5"/>
      <c r="G459" s="6"/>
      <c r="H459" s="2"/>
    </row>
    <row r="460" spans="1:8" ht="15.75">
      <c r="A460" s="2"/>
      <c r="B460" s="106"/>
      <c r="C460" s="2"/>
      <c r="D460" s="2"/>
      <c r="E460" s="4"/>
      <c r="F460" s="5"/>
      <c r="G460" s="6"/>
      <c r="H460" s="2"/>
    </row>
    <row r="461" spans="1:8" ht="15.75">
      <c r="A461" s="2"/>
      <c r="B461" s="106"/>
      <c r="C461" s="2"/>
      <c r="D461" s="2"/>
      <c r="E461" s="4"/>
      <c r="F461" s="5"/>
      <c r="G461" s="6"/>
      <c r="H461" s="2"/>
    </row>
    <row r="462" spans="1:8" ht="15.75">
      <c r="A462" s="2"/>
      <c r="B462" s="106"/>
      <c r="C462" s="2"/>
      <c r="D462" s="2"/>
      <c r="E462" s="4"/>
      <c r="F462" s="5"/>
      <c r="G462" s="6"/>
      <c r="H462" s="2"/>
    </row>
    <row r="463" spans="1:8" ht="15.75">
      <c r="A463" s="2"/>
      <c r="B463" s="106"/>
      <c r="C463" s="2"/>
      <c r="D463" s="2"/>
      <c r="E463" s="4"/>
      <c r="F463" s="5"/>
      <c r="G463" s="6"/>
      <c r="H463" s="2"/>
    </row>
    <row r="464" spans="1:8" ht="15.75">
      <c r="A464" s="2"/>
      <c r="B464" s="106"/>
      <c r="C464" s="2"/>
      <c r="D464" s="2"/>
      <c r="E464" s="4"/>
      <c r="F464" s="5"/>
      <c r="G464" s="6"/>
      <c r="H464" s="2"/>
    </row>
    <row r="465" spans="1:8" ht="15.75">
      <c r="A465" s="2"/>
      <c r="B465" s="106"/>
      <c r="C465" s="2"/>
      <c r="D465" s="2"/>
      <c r="E465" s="4"/>
      <c r="F465" s="5"/>
      <c r="G465" s="6"/>
      <c r="H465" s="2"/>
    </row>
    <row r="466" spans="1:8" ht="15.75">
      <c r="A466" s="2"/>
      <c r="B466" s="106"/>
      <c r="C466" s="2"/>
      <c r="D466" s="2"/>
      <c r="E466" s="4"/>
      <c r="F466" s="5"/>
      <c r="G466" s="6"/>
      <c r="H466" s="2"/>
    </row>
    <row r="467" spans="1:8" ht="15.75">
      <c r="A467" s="2"/>
      <c r="B467" s="106"/>
      <c r="C467" s="2"/>
      <c r="D467" s="2"/>
      <c r="E467" s="4"/>
      <c r="F467" s="5"/>
      <c r="G467" s="6"/>
      <c r="H467" s="2"/>
    </row>
    <row r="468" spans="1:8" ht="15.75">
      <c r="A468" s="2"/>
      <c r="B468" s="106"/>
      <c r="C468" s="2"/>
      <c r="D468" s="2"/>
      <c r="E468" s="4"/>
      <c r="F468" s="5"/>
      <c r="G468" s="6"/>
      <c r="H468" s="2"/>
    </row>
    <row r="469" spans="1:8" ht="15.75">
      <c r="A469" s="2"/>
      <c r="B469" s="106"/>
      <c r="C469" s="2"/>
      <c r="D469" s="2"/>
      <c r="E469" s="4"/>
      <c r="F469" s="5"/>
      <c r="G469" s="6"/>
      <c r="H469" s="2"/>
    </row>
    <row r="470" spans="1:8" ht="15.75">
      <c r="A470" s="2"/>
      <c r="B470" s="106"/>
      <c r="C470" s="2"/>
      <c r="D470" s="2"/>
      <c r="E470" s="4"/>
      <c r="F470" s="5"/>
      <c r="G470" s="6"/>
      <c r="H470" s="2"/>
    </row>
    <row r="471" spans="1:8" ht="15.75">
      <c r="A471" s="2"/>
      <c r="B471" s="106"/>
      <c r="C471" s="2"/>
      <c r="D471" s="2"/>
      <c r="E471" s="4"/>
      <c r="F471" s="5"/>
      <c r="G471" s="6"/>
      <c r="H471" s="2"/>
    </row>
    <row r="472" spans="1:8" ht="15.75">
      <c r="A472" s="2"/>
      <c r="B472" s="106"/>
      <c r="C472" s="2"/>
      <c r="D472" s="2"/>
      <c r="E472" s="4"/>
      <c r="F472" s="5"/>
      <c r="G472" s="6"/>
      <c r="H472" s="2"/>
    </row>
    <row r="473" spans="1:8" ht="15.75">
      <c r="A473" s="2"/>
      <c r="B473" s="106"/>
      <c r="C473" s="2"/>
      <c r="D473" s="2"/>
      <c r="E473" s="4"/>
      <c r="F473" s="5"/>
      <c r="G473" s="6"/>
      <c r="H473" s="2"/>
    </row>
    <row r="474" spans="1:8" ht="15.75">
      <c r="A474" s="2"/>
      <c r="B474" s="106"/>
      <c r="C474" s="2"/>
      <c r="D474" s="2"/>
      <c r="E474" s="4"/>
      <c r="F474" s="5"/>
      <c r="G474" s="6"/>
      <c r="H474" s="2"/>
    </row>
    <row r="475" spans="1:8" ht="15.75">
      <c r="A475" s="2"/>
      <c r="B475" s="106"/>
      <c r="C475" s="2"/>
      <c r="D475" s="2"/>
      <c r="E475" s="4"/>
      <c r="F475" s="5"/>
      <c r="G475" s="6"/>
      <c r="H475" s="2"/>
    </row>
    <row r="476" spans="1:8" ht="15.75">
      <c r="A476" s="2"/>
      <c r="B476" s="106"/>
      <c r="C476" s="2"/>
      <c r="D476" s="2"/>
      <c r="E476" s="4"/>
      <c r="F476" s="5"/>
      <c r="G476" s="6"/>
      <c r="H476" s="2"/>
    </row>
    <row r="477" spans="1:8" ht="15.75">
      <c r="A477" s="2"/>
      <c r="B477" s="106"/>
      <c r="C477" s="2"/>
      <c r="D477" s="2"/>
      <c r="E477" s="4"/>
      <c r="F477" s="5"/>
      <c r="G477" s="6"/>
      <c r="H477" s="2"/>
    </row>
    <row r="478" spans="1:8" ht="15.75">
      <c r="A478" s="2"/>
      <c r="B478" s="106"/>
      <c r="C478" s="2"/>
      <c r="D478" s="2"/>
      <c r="E478" s="4"/>
      <c r="F478" s="5"/>
      <c r="G478" s="6"/>
      <c r="H478" s="2"/>
    </row>
    <row r="479" spans="1:8" ht="15.75">
      <c r="A479" s="2"/>
      <c r="B479" s="106"/>
      <c r="C479" s="2"/>
      <c r="D479" s="2"/>
      <c r="E479" s="4"/>
      <c r="F479" s="5"/>
      <c r="G479" s="6"/>
      <c r="H479" s="2"/>
    </row>
    <row r="480" spans="1:8" ht="15.75">
      <c r="A480" s="2"/>
      <c r="B480" s="106"/>
      <c r="C480" s="2"/>
      <c r="D480" s="2"/>
      <c r="E480" s="4"/>
      <c r="F480" s="5"/>
      <c r="G480" s="6"/>
      <c r="H480" s="2"/>
    </row>
    <row r="481" spans="1:8" ht="15.75">
      <c r="A481" s="2"/>
      <c r="B481" s="106"/>
      <c r="C481" s="2"/>
      <c r="D481" s="2"/>
      <c r="E481" s="4"/>
      <c r="F481" s="5"/>
      <c r="G481" s="6"/>
      <c r="H481" s="2"/>
    </row>
    <row r="482" spans="1:8" ht="15.75">
      <c r="A482" s="2"/>
      <c r="B482" s="106"/>
      <c r="C482" s="2"/>
      <c r="D482" s="2"/>
      <c r="E482" s="4"/>
      <c r="F482" s="5"/>
      <c r="G482" s="6"/>
      <c r="H482" s="2"/>
    </row>
    <row r="483" spans="1:8" ht="15.75">
      <c r="A483" s="2"/>
      <c r="B483" s="106"/>
      <c r="C483" s="2"/>
      <c r="D483" s="2"/>
      <c r="E483" s="4"/>
      <c r="F483" s="5"/>
      <c r="G483" s="6"/>
      <c r="H483" s="2"/>
    </row>
    <row r="484" spans="1:8" ht="15.75">
      <c r="A484" s="2"/>
      <c r="B484" s="106"/>
      <c r="C484" s="2"/>
      <c r="D484" s="2"/>
      <c r="E484" s="4"/>
      <c r="F484" s="5"/>
      <c r="G484" s="6"/>
      <c r="H484" s="2"/>
    </row>
    <row r="485" spans="1:8" ht="15.75">
      <c r="A485" s="2"/>
      <c r="B485" s="106"/>
      <c r="C485" s="2"/>
      <c r="D485" s="2"/>
      <c r="E485" s="4"/>
      <c r="F485" s="5"/>
      <c r="G485" s="6"/>
      <c r="H485" s="2"/>
    </row>
    <row r="486" spans="1:8" ht="15.75">
      <c r="A486" s="2"/>
      <c r="B486" s="106"/>
      <c r="C486" s="2"/>
      <c r="D486" s="2"/>
      <c r="E486" s="4"/>
      <c r="F486" s="5"/>
      <c r="G486" s="6"/>
      <c r="H486" s="2"/>
    </row>
    <row r="487" spans="1:8" ht="15.75">
      <c r="A487" s="2"/>
      <c r="B487" s="106"/>
      <c r="C487" s="2"/>
      <c r="D487" s="2"/>
      <c r="E487" s="4"/>
      <c r="F487" s="5"/>
      <c r="G487" s="6"/>
      <c r="H487" s="2"/>
    </row>
    <row r="488" spans="1:8" ht="15.75">
      <c r="A488" s="2"/>
      <c r="B488" s="106"/>
      <c r="C488" s="2"/>
      <c r="D488" s="2"/>
      <c r="E488" s="4"/>
      <c r="F488" s="5"/>
      <c r="G488" s="6"/>
      <c r="H488" s="2"/>
    </row>
    <row r="489" spans="1:8" ht="15.75">
      <c r="A489" s="2"/>
      <c r="B489" s="106"/>
      <c r="C489" s="2"/>
      <c r="D489" s="2"/>
      <c r="E489" s="4"/>
      <c r="F489" s="5"/>
      <c r="G489" s="6"/>
      <c r="H489" s="2"/>
    </row>
    <row r="490" spans="1:8" ht="15.75">
      <c r="A490" s="2"/>
      <c r="B490" s="106"/>
      <c r="C490" s="2"/>
      <c r="D490" s="2"/>
      <c r="E490" s="4"/>
      <c r="F490" s="5"/>
      <c r="G490" s="6"/>
      <c r="H490" s="2"/>
    </row>
    <row r="491" spans="1:8" ht="15.75">
      <c r="A491" s="2"/>
      <c r="B491" s="106"/>
      <c r="C491" s="2"/>
      <c r="D491" s="2"/>
      <c r="E491" s="4"/>
      <c r="F491" s="5"/>
      <c r="G491" s="6"/>
      <c r="H491" s="2"/>
    </row>
    <row r="492" spans="1:8" ht="15.75">
      <c r="A492" s="2"/>
      <c r="B492" s="106"/>
      <c r="C492" s="2"/>
      <c r="D492" s="2"/>
      <c r="E492" s="4"/>
      <c r="F492" s="5"/>
      <c r="G492" s="6"/>
      <c r="H492" s="2"/>
    </row>
    <row r="493" spans="1:8" ht="15.75">
      <c r="A493" s="2"/>
      <c r="B493" s="106"/>
      <c r="C493" s="2"/>
      <c r="D493" s="2"/>
      <c r="E493" s="4"/>
      <c r="F493" s="5"/>
      <c r="G493" s="6"/>
      <c r="H493" s="2"/>
    </row>
    <row r="494" spans="1:8" ht="15.75">
      <c r="A494" s="2"/>
      <c r="B494" s="106"/>
      <c r="C494" s="2"/>
      <c r="D494" s="2"/>
      <c r="E494" s="4"/>
      <c r="F494" s="5"/>
      <c r="G494" s="6"/>
      <c r="H494" s="2"/>
    </row>
    <row r="495" spans="1:8" ht="15.75">
      <c r="A495" s="2"/>
      <c r="B495" s="106"/>
      <c r="C495" s="2"/>
      <c r="D495" s="2"/>
      <c r="E495" s="4"/>
      <c r="F495" s="5"/>
      <c r="G495" s="6"/>
      <c r="H495" s="2"/>
    </row>
    <row r="496" spans="1:8" ht="15.75">
      <c r="A496" s="2"/>
      <c r="B496" s="106"/>
      <c r="C496" s="2"/>
      <c r="D496" s="2"/>
      <c r="E496" s="4"/>
      <c r="F496" s="5"/>
      <c r="G496" s="6"/>
      <c r="H496" s="2"/>
    </row>
    <row r="497" spans="1:8" ht="15.75">
      <c r="A497" s="2"/>
      <c r="B497" s="106"/>
      <c r="C497" s="2"/>
      <c r="D497" s="2"/>
      <c r="E497" s="4"/>
      <c r="F497" s="5"/>
      <c r="G497" s="6"/>
      <c r="H497" s="2"/>
    </row>
    <row r="498" spans="1:8" ht="15.75">
      <c r="A498" s="2"/>
      <c r="B498" s="106"/>
      <c r="C498" s="2"/>
      <c r="D498" s="2"/>
      <c r="E498" s="4"/>
      <c r="F498" s="5"/>
      <c r="G498" s="6"/>
      <c r="H498" s="2"/>
    </row>
    <row r="499" spans="1:8" ht="15.75">
      <c r="A499" s="2"/>
      <c r="B499" s="106"/>
      <c r="C499" s="2"/>
      <c r="D499" s="2"/>
      <c r="E499" s="4"/>
      <c r="F499" s="5"/>
      <c r="G499" s="6"/>
      <c r="H499" s="2"/>
    </row>
    <row r="500" spans="1:8" ht="15.75">
      <c r="A500" s="2"/>
      <c r="B500" s="106"/>
      <c r="C500" s="2"/>
      <c r="D500" s="2"/>
      <c r="E500" s="4"/>
      <c r="F500" s="5"/>
      <c r="G500" s="6"/>
      <c r="H500" s="2"/>
    </row>
    <row r="501" spans="1:8" ht="15.75">
      <c r="A501" s="2"/>
      <c r="B501" s="106"/>
      <c r="C501" s="2"/>
      <c r="D501" s="2"/>
      <c r="E501" s="4"/>
      <c r="F501" s="5"/>
      <c r="G501" s="6"/>
      <c r="H501" s="2"/>
    </row>
    <row r="502" spans="1:8" ht="15.75">
      <c r="A502" s="2"/>
      <c r="B502" s="106"/>
      <c r="C502" s="2"/>
      <c r="D502" s="2"/>
      <c r="E502" s="4"/>
      <c r="F502" s="5"/>
      <c r="G502" s="6"/>
      <c r="H502" s="2"/>
    </row>
    <row r="503" spans="1:8" ht="15.75">
      <c r="A503" s="2"/>
      <c r="B503" s="106"/>
      <c r="C503" s="2"/>
      <c r="D503" s="2"/>
      <c r="E503" s="4"/>
      <c r="F503" s="5"/>
      <c r="G503" s="6"/>
      <c r="H503" s="2"/>
    </row>
    <row r="504" spans="1:8" ht="15.75">
      <c r="A504" s="2"/>
      <c r="B504" s="106"/>
      <c r="C504" s="2"/>
      <c r="D504" s="2"/>
      <c r="E504" s="4"/>
      <c r="F504" s="5"/>
      <c r="G504" s="6"/>
      <c r="H504" s="2"/>
    </row>
    <row r="505" spans="1:8" ht="15.75">
      <c r="A505" s="2"/>
      <c r="B505" s="106"/>
      <c r="C505" s="2"/>
      <c r="D505" s="2"/>
      <c r="E505" s="4"/>
      <c r="F505" s="5"/>
      <c r="G505" s="6"/>
      <c r="H505" s="2"/>
    </row>
    <row r="506" spans="1:8" ht="15.75">
      <c r="A506" s="2"/>
      <c r="B506" s="106"/>
      <c r="C506" s="2"/>
      <c r="D506" s="2"/>
      <c r="E506" s="4"/>
      <c r="F506" s="5"/>
      <c r="G506" s="6"/>
      <c r="H506" s="2"/>
    </row>
    <row r="507" spans="1:8" ht="15.75">
      <c r="A507" s="2"/>
      <c r="B507" s="106"/>
      <c r="C507" s="2"/>
      <c r="D507" s="2"/>
      <c r="E507" s="4"/>
      <c r="F507" s="5"/>
      <c r="G507" s="6"/>
      <c r="H507" s="2"/>
    </row>
    <row r="508" spans="1:8" ht="15.75">
      <c r="A508" s="2"/>
      <c r="B508" s="106"/>
      <c r="C508" s="2"/>
      <c r="D508" s="2"/>
      <c r="E508" s="4"/>
      <c r="F508" s="5"/>
      <c r="G508" s="6"/>
      <c r="H508" s="2"/>
    </row>
    <row r="509" spans="1:8" ht="15.75">
      <c r="A509" s="2"/>
      <c r="B509" s="106"/>
      <c r="C509" s="2"/>
      <c r="D509" s="2"/>
      <c r="E509" s="4"/>
      <c r="F509" s="5"/>
      <c r="G509" s="6"/>
      <c r="H509" s="2"/>
    </row>
    <row r="510" spans="1:8" ht="15.75">
      <c r="A510" s="2"/>
      <c r="B510" s="106"/>
      <c r="C510" s="2"/>
      <c r="D510" s="2"/>
      <c r="E510" s="4"/>
      <c r="F510" s="5"/>
      <c r="G510" s="6"/>
      <c r="H510" s="2"/>
    </row>
    <row r="511" spans="1:8" ht="15.75">
      <c r="A511" s="2"/>
      <c r="B511" s="106"/>
      <c r="C511" s="2"/>
      <c r="D511" s="2"/>
      <c r="E511" s="4"/>
      <c r="F511" s="5"/>
      <c r="G511" s="6"/>
      <c r="H511" s="2"/>
    </row>
    <row r="512" spans="1:8" ht="15.75">
      <c r="A512" s="2"/>
      <c r="B512" s="106"/>
      <c r="C512" s="2"/>
      <c r="D512" s="2"/>
      <c r="E512" s="4"/>
      <c r="F512" s="5"/>
      <c r="G512" s="6"/>
      <c r="H512" s="2"/>
    </row>
    <row r="513" spans="1:8" ht="15.75">
      <c r="A513" s="2"/>
      <c r="B513" s="106"/>
      <c r="C513" s="2"/>
      <c r="D513" s="2"/>
      <c r="E513" s="4"/>
      <c r="F513" s="5"/>
      <c r="G513" s="6"/>
      <c r="H513" s="2"/>
    </row>
    <row r="514" spans="1:8" ht="15.75">
      <c r="A514" s="2"/>
      <c r="B514" s="106"/>
      <c r="C514" s="2"/>
      <c r="D514" s="2"/>
      <c r="E514" s="4"/>
      <c r="F514" s="5"/>
      <c r="G514" s="6"/>
      <c r="H514" s="2"/>
    </row>
    <row r="515" spans="1:8" ht="15.75">
      <c r="A515" s="2"/>
      <c r="B515" s="106"/>
      <c r="C515" s="2"/>
      <c r="D515" s="2"/>
      <c r="E515" s="4"/>
      <c r="F515" s="5"/>
      <c r="G515" s="6"/>
      <c r="H515" s="2"/>
    </row>
    <row r="516" spans="1:8" ht="15.75">
      <c r="A516" s="2"/>
      <c r="B516" s="106"/>
      <c r="C516" s="2"/>
      <c r="D516" s="2"/>
      <c r="E516" s="4"/>
      <c r="F516" s="5"/>
      <c r="G516" s="6"/>
      <c r="H516" s="2"/>
    </row>
    <row r="517" spans="1:8" ht="15.75">
      <c r="A517" s="2"/>
      <c r="B517" s="106"/>
      <c r="C517" s="2"/>
      <c r="D517" s="2"/>
      <c r="E517" s="4"/>
      <c r="F517" s="5"/>
      <c r="G517" s="6"/>
      <c r="H517" s="2"/>
    </row>
    <row r="518" spans="1:8" ht="15.75">
      <c r="A518" s="2"/>
      <c r="B518" s="106"/>
      <c r="C518" s="2"/>
      <c r="D518" s="2"/>
      <c r="E518" s="4"/>
      <c r="F518" s="5"/>
      <c r="G518" s="6"/>
      <c r="H518" s="2"/>
    </row>
    <row r="519" spans="1:8" ht="15.75">
      <c r="A519" s="2"/>
      <c r="B519" s="106"/>
      <c r="C519" s="2"/>
      <c r="D519" s="2"/>
      <c r="E519" s="4"/>
      <c r="F519" s="5"/>
      <c r="G519" s="6"/>
      <c r="H519" s="2"/>
    </row>
    <row r="520" spans="1:8" ht="15.75">
      <c r="A520" s="2"/>
      <c r="B520" s="106"/>
      <c r="C520" s="2"/>
      <c r="D520" s="2"/>
      <c r="E520" s="4"/>
      <c r="F520" s="5"/>
      <c r="G520" s="6"/>
      <c r="H520" s="2"/>
    </row>
    <row r="521" spans="1:8" ht="15.75">
      <c r="A521" s="2"/>
      <c r="B521" s="106"/>
      <c r="C521" s="2"/>
      <c r="D521" s="2"/>
      <c r="E521" s="4"/>
      <c r="F521" s="5"/>
      <c r="G521" s="6"/>
      <c r="H521" s="2"/>
    </row>
    <row r="522" spans="1:8" ht="15.75">
      <c r="A522" s="2"/>
      <c r="B522" s="106"/>
      <c r="C522" s="2"/>
      <c r="D522" s="2"/>
      <c r="E522" s="4"/>
      <c r="F522" s="5"/>
      <c r="G522" s="6"/>
      <c r="H522" s="2"/>
    </row>
    <row r="523" spans="1:8" ht="15.75">
      <c r="A523" s="2"/>
      <c r="B523" s="106"/>
      <c r="C523" s="2"/>
      <c r="D523" s="2"/>
      <c r="E523" s="4"/>
      <c r="F523" s="5"/>
      <c r="G523" s="6"/>
      <c r="H523" s="2"/>
    </row>
    <row r="524" spans="1:8" ht="15.75">
      <c r="A524" s="2"/>
      <c r="B524" s="106"/>
      <c r="C524" s="2"/>
      <c r="D524" s="2"/>
      <c r="E524" s="4"/>
      <c r="F524" s="5"/>
      <c r="G524" s="6"/>
      <c r="H524" s="2"/>
    </row>
    <row r="525" spans="1:8" ht="15.75">
      <c r="A525" s="2"/>
      <c r="B525" s="106"/>
      <c r="C525" s="2"/>
      <c r="D525" s="2"/>
      <c r="E525" s="4"/>
      <c r="F525" s="5"/>
      <c r="G525" s="6"/>
      <c r="H525" s="2"/>
    </row>
    <row r="526" spans="1:8" ht="15.75">
      <c r="A526" s="2"/>
      <c r="B526" s="106"/>
      <c r="C526" s="2"/>
      <c r="D526" s="2"/>
      <c r="E526" s="4"/>
      <c r="F526" s="5"/>
      <c r="G526" s="6"/>
      <c r="H526" s="2"/>
    </row>
    <row r="527" spans="1:8" ht="15.75">
      <c r="A527" s="2"/>
      <c r="B527" s="106"/>
      <c r="C527" s="2"/>
      <c r="D527" s="2"/>
      <c r="E527" s="4"/>
      <c r="F527" s="5"/>
      <c r="G527" s="6"/>
      <c r="H527" s="2"/>
    </row>
    <row r="528" spans="1:8" ht="15.75">
      <c r="A528" s="2"/>
      <c r="B528" s="106"/>
      <c r="C528" s="2"/>
      <c r="D528" s="2"/>
      <c r="E528" s="4"/>
      <c r="F528" s="5"/>
      <c r="G528" s="6"/>
      <c r="H528" s="2"/>
    </row>
    <row r="529" spans="1:8" ht="15.75">
      <c r="A529" s="2"/>
      <c r="B529" s="106"/>
      <c r="C529" s="2"/>
      <c r="D529" s="2"/>
      <c r="E529" s="4"/>
      <c r="F529" s="5"/>
      <c r="G529" s="6"/>
      <c r="H529" s="2"/>
    </row>
    <row r="530" spans="1:8" ht="15.75">
      <c r="A530" s="2"/>
      <c r="B530" s="106"/>
      <c r="C530" s="2"/>
      <c r="D530" s="2"/>
      <c r="E530" s="4"/>
      <c r="F530" s="5"/>
      <c r="G530" s="6"/>
      <c r="H530" s="2"/>
    </row>
    <row r="531" spans="1:8" ht="15.75">
      <c r="A531" s="2"/>
      <c r="B531" s="106"/>
      <c r="C531" s="2"/>
      <c r="D531" s="2"/>
      <c r="E531" s="4"/>
      <c r="F531" s="5"/>
      <c r="G531" s="6"/>
      <c r="H531" s="2"/>
    </row>
    <row r="532" spans="1:8" ht="15.75">
      <c r="A532" s="2"/>
      <c r="B532" s="106"/>
      <c r="C532" s="2"/>
      <c r="D532" s="2"/>
      <c r="E532" s="4"/>
      <c r="F532" s="5"/>
      <c r="G532" s="6"/>
      <c r="H532" s="2"/>
    </row>
    <row r="533" spans="1:8" ht="15.75">
      <c r="A533" s="2"/>
      <c r="B533" s="106"/>
      <c r="C533" s="2"/>
      <c r="D533" s="2"/>
      <c r="E533" s="4"/>
      <c r="F533" s="5"/>
      <c r="G533" s="6"/>
      <c r="H533" s="2"/>
    </row>
    <row r="534" spans="1:8" ht="15.75">
      <c r="A534" s="2"/>
      <c r="B534" s="106"/>
      <c r="C534" s="2"/>
      <c r="D534" s="2"/>
      <c r="E534" s="4"/>
      <c r="F534" s="5"/>
      <c r="G534" s="6"/>
      <c r="H534" s="2"/>
    </row>
    <row r="535" spans="1:8" ht="15.75">
      <c r="A535" s="2"/>
      <c r="B535" s="106"/>
      <c r="C535" s="2"/>
      <c r="D535" s="2"/>
      <c r="E535" s="4"/>
      <c r="F535" s="5"/>
      <c r="G535" s="6"/>
      <c r="H535" s="2"/>
    </row>
    <row r="536" spans="1:8" ht="15.75">
      <c r="A536" s="2"/>
      <c r="B536" s="106"/>
      <c r="C536" s="2"/>
      <c r="D536" s="2"/>
      <c r="E536" s="4"/>
      <c r="F536" s="5"/>
      <c r="G536" s="6"/>
      <c r="H536" s="2"/>
    </row>
    <row r="537" spans="1:8" ht="15.75">
      <c r="A537" s="2"/>
      <c r="B537" s="106"/>
      <c r="C537" s="2"/>
      <c r="D537" s="2"/>
      <c r="E537" s="4"/>
      <c r="F537" s="5"/>
      <c r="G537" s="6"/>
      <c r="H537" s="2"/>
    </row>
    <row r="538" spans="1:8" ht="15.75">
      <c r="A538" s="2"/>
      <c r="B538" s="106"/>
      <c r="C538" s="2"/>
      <c r="D538" s="2"/>
      <c r="E538" s="4"/>
      <c r="F538" s="5"/>
      <c r="G538" s="6"/>
      <c r="H538" s="2"/>
    </row>
    <row r="539" spans="1:8" ht="15.75">
      <c r="A539" s="2"/>
      <c r="B539" s="106"/>
      <c r="C539" s="2"/>
      <c r="D539" s="2"/>
      <c r="E539" s="4"/>
      <c r="F539" s="5"/>
      <c r="G539" s="6"/>
      <c r="H539" s="2"/>
    </row>
    <row r="540" spans="1:8" ht="15.75">
      <c r="A540" s="2"/>
      <c r="B540" s="106"/>
      <c r="C540" s="2"/>
      <c r="D540" s="2"/>
      <c r="E540" s="4"/>
      <c r="F540" s="5"/>
      <c r="G540" s="6"/>
      <c r="H540" s="2"/>
    </row>
    <row r="541" spans="1:8" ht="15.75">
      <c r="A541" s="2"/>
      <c r="B541" s="106"/>
      <c r="C541" s="2"/>
      <c r="D541" s="2"/>
      <c r="E541" s="4"/>
      <c r="F541" s="5"/>
      <c r="G541" s="6"/>
      <c r="H541" s="2"/>
    </row>
    <row r="542" spans="1:8" ht="15.75">
      <c r="A542" s="2"/>
      <c r="B542" s="106"/>
      <c r="C542" s="2"/>
      <c r="D542" s="2"/>
      <c r="E542" s="4"/>
      <c r="F542" s="5"/>
      <c r="G542" s="6"/>
      <c r="H542" s="2"/>
    </row>
    <row r="543" spans="1:8" ht="15.75">
      <c r="A543" s="2"/>
      <c r="B543" s="106"/>
      <c r="C543" s="2"/>
      <c r="D543" s="2"/>
      <c r="E543" s="4"/>
      <c r="F543" s="5"/>
      <c r="G543" s="6"/>
      <c r="H543" s="2"/>
    </row>
    <row r="544" spans="1:8" ht="15.75">
      <c r="A544" s="2"/>
      <c r="B544" s="106"/>
      <c r="C544" s="2"/>
      <c r="D544" s="2"/>
      <c r="E544" s="4"/>
      <c r="F544" s="5"/>
      <c r="G544" s="6"/>
      <c r="H544" s="2"/>
    </row>
    <row r="545" spans="1:8" ht="15.75">
      <c r="A545" s="2"/>
      <c r="B545" s="106"/>
      <c r="C545" s="2"/>
      <c r="D545" s="2"/>
      <c r="E545" s="4"/>
      <c r="F545" s="5"/>
      <c r="G545" s="6"/>
      <c r="H545" s="2"/>
    </row>
    <row r="546" spans="1:8" ht="15.75">
      <c r="A546" s="2"/>
      <c r="B546" s="106"/>
      <c r="C546" s="2"/>
      <c r="D546" s="2"/>
      <c r="E546" s="4"/>
      <c r="F546" s="5"/>
      <c r="G546" s="6"/>
      <c r="H546" s="2"/>
    </row>
    <row r="547" spans="1:8" ht="15.75">
      <c r="A547" s="2"/>
      <c r="B547" s="106"/>
      <c r="C547" s="2"/>
      <c r="D547" s="2"/>
      <c r="E547" s="4"/>
      <c r="F547" s="5"/>
      <c r="G547" s="6"/>
      <c r="H547" s="2"/>
    </row>
    <row r="548" spans="1:8" ht="15.75">
      <c r="A548" s="2"/>
      <c r="B548" s="106"/>
      <c r="C548" s="2"/>
      <c r="D548" s="2"/>
      <c r="E548" s="4"/>
      <c r="F548" s="5"/>
      <c r="G548" s="6"/>
      <c r="H548" s="2"/>
    </row>
    <row r="549" spans="1:8" ht="15.75">
      <c r="A549" s="2"/>
      <c r="B549" s="106"/>
      <c r="C549" s="2"/>
      <c r="D549" s="2"/>
      <c r="E549" s="4"/>
      <c r="F549" s="5"/>
      <c r="G549" s="6"/>
      <c r="H549" s="2"/>
    </row>
    <row r="550" spans="1:8" ht="15.75">
      <c r="A550" s="2"/>
      <c r="B550" s="106"/>
      <c r="C550" s="2"/>
      <c r="D550" s="2"/>
      <c r="E550" s="4"/>
      <c r="F550" s="5"/>
      <c r="G550" s="6"/>
      <c r="H550" s="2"/>
    </row>
    <row r="551" spans="1:8" ht="15.75">
      <c r="A551" s="2"/>
      <c r="B551" s="106"/>
      <c r="C551" s="2"/>
      <c r="D551" s="2"/>
      <c r="E551" s="4"/>
      <c r="F551" s="5"/>
      <c r="G551" s="6"/>
      <c r="H551" s="2"/>
    </row>
    <row r="552" spans="1:8" ht="15.75">
      <c r="A552" s="2"/>
      <c r="B552" s="106"/>
      <c r="C552" s="2"/>
      <c r="D552" s="2"/>
      <c r="E552" s="4"/>
      <c r="F552" s="5"/>
      <c r="G552" s="6"/>
      <c r="H552" s="2"/>
    </row>
    <row r="553" spans="1:8" ht="15.75">
      <c r="A553" s="2"/>
      <c r="B553" s="106"/>
      <c r="C553" s="2"/>
      <c r="D553" s="2"/>
      <c r="E553" s="4"/>
      <c r="F553" s="5"/>
      <c r="G553" s="6"/>
      <c r="H553" s="2"/>
    </row>
    <row r="554" spans="1:8" ht="15.75">
      <c r="A554" s="2"/>
      <c r="B554" s="106"/>
      <c r="C554" s="2"/>
      <c r="D554" s="2"/>
      <c r="E554" s="4"/>
      <c r="F554" s="5"/>
      <c r="G554" s="6"/>
      <c r="H554" s="2"/>
    </row>
    <row r="555" spans="1:8" ht="15.75">
      <c r="A555" s="2"/>
      <c r="B555" s="106"/>
      <c r="C555" s="2"/>
      <c r="D555" s="2"/>
      <c r="E555" s="4"/>
      <c r="F555" s="5"/>
      <c r="G555" s="6"/>
      <c r="H555" s="2"/>
    </row>
    <row r="556" spans="1:8" ht="15.75">
      <c r="A556" s="2"/>
      <c r="B556" s="106"/>
      <c r="C556" s="2"/>
      <c r="D556" s="2"/>
      <c r="E556" s="4"/>
      <c r="F556" s="5"/>
      <c r="G556" s="6"/>
      <c r="H556" s="2"/>
    </row>
    <row r="557" spans="1:8" ht="15.75">
      <c r="A557" s="2"/>
      <c r="B557" s="106"/>
      <c r="C557" s="2"/>
      <c r="D557" s="2"/>
      <c r="E557" s="4"/>
      <c r="F557" s="5"/>
      <c r="G557" s="6"/>
      <c r="H557" s="2"/>
    </row>
    <row r="558" spans="1:8" ht="15.75">
      <c r="A558" s="2"/>
      <c r="B558" s="106"/>
      <c r="C558" s="2"/>
      <c r="D558" s="2"/>
      <c r="E558" s="4"/>
      <c r="F558" s="5"/>
      <c r="G558" s="6"/>
      <c r="H558" s="2"/>
    </row>
    <row r="559" spans="1:8" ht="15.75">
      <c r="A559" s="2"/>
      <c r="B559" s="106"/>
      <c r="C559" s="2"/>
      <c r="D559" s="2"/>
      <c r="E559" s="4"/>
      <c r="F559" s="5"/>
      <c r="G559" s="6"/>
      <c r="H559" s="2"/>
    </row>
    <row r="560" spans="1:8" ht="15.75">
      <c r="A560" s="2"/>
      <c r="B560" s="106"/>
      <c r="C560" s="2"/>
      <c r="D560" s="2"/>
      <c r="E560" s="4"/>
      <c r="F560" s="5"/>
      <c r="G560" s="6"/>
      <c r="H560" s="2"/>
    </row>
    <row r="561" spans="1:8" ht="15.75">
      <c r="A561" s="2"/>
      <c r="B561" s="106"/>
      <c r="C561" s="2"/>
      <c r="D561" s="2"/>
      <c r="E561" s="4"/>
      <c r="F561" s="5"/>
      <c r="G561" s="6"/>
      <c r="H561" s="2"/>
    </row>
    <row r="562" spans="1:8" ht="15.75">
      <c r="A562" s="2"/>
      <c r="B562" s="106"/>
      <c r="C562" s="2"/>
      <c r="D562" s="2"/>
      <c r="E562" s="4"/>
      <c r="F562" s="5"/>
      <c r="G562" s="6"/>
      <c r="H562" s="2"/>
    </row>
    <row r="563" spans="1:8" ht="15.75">
      <c r="A563" s="2"/>
      <c r="B563" s="106"/>
      <c r="C563" s="2"/>
      <c r="D563" s="2"/>
      <c r="E563" s="4"/>
      <c r="F563" s="5"/>
      <c r="G563" s="6"/>
      <c r="H563" s="2"/>
    </row>
    <row r="564" spans="1:8" ht="15.75">
      <c r="A564" s="2"/>
      <c r="B564" s="106"/>
      <c r="C564" s="2"/>
      <c r="D564" s="2"/>
      <c r="E564" s="4"/>
      <c r="F564" s="5"/>
      <c r="G564" s="6"/>
      <c r="H564" s="2"/>
    </row>
    <row r="565" spans="1:8" ht="15.75">
      <c r="A565" s="2"/>
      <c r="B565" s="106"/>
      <c r="C565" s="2"/>
      <c r="D565" s="2"/>
      <c r="E565" s="4"/>
      <c r="F565" s="5"/>
      <c r="G565" s="6"/>
      <c r="H565" s="2"/>
    </row>
    <row r="566" spans="1:8" ht="15.75">
      <c r="A566" s="2"/>
      <c r="B566" s="106"/>
      <c r="C566" s="2"/>
      <c r="D566" s="2"/>
      <c r="E566" s="4"/>
      <c r="F566" s="5"/>
      <c r="G566" s="6"/>
      <c r="H566" s="2"/>
    </row>
    <row r="567" spans="1:8" ht="15.75">
      <c r="A567" s="2"/>
      <c r="B567" s="106"/>
      <c r="C567" s="2"/>
      <c r="D567" s="2"/>
      <c r="E567" s="4"/>
      <c r="F567" s="5"/>
      <c r="G567" s="6"/>
      <c r="H567" s="2"/>
    </row>
    <row r="568" spans="1:8" ht="15.75">
      <c r="A568" s="2"/>
      <c r="B568" s="106"/>
      <c r="C568" s="2"/>
      <c r="D568" s="2"/>
      <c r="E568" s="4"/>
      <c r="F568" s="5"/>
      <c r="G568" s="6"/>
      <c r="H568" s="2"/>
    </row>
    <row r="569" spans="1:8" ht="15.75">
      <c r="A569" s="2"/>
      <c r="B569" s="106"/>
      <c r="C569" s="2"/>
      <c r="D569" s="2"/>
      <c r="E569" s="4"/>
      <c r="F569" s="5"/>
      <c r="G569" s="6"/>
      <c r="H569" s="2"/>
    </row>
    <row r="570" spans="1:8" ht="15.75">
      <c r="A570" s="2"/>
      <c r="B570" s="106"/>
      <c r="C570" s="2"/>
      <c r="D570" s="2"/>
      <c r="E570" s="4"/>
      <c r="F570" s="5"/>
      <c r="G570" s="6"/>
      <c r="H570" s="2"/>
    </row>
    <row r="571" spans="1:8" ht="15.75">
      <c r="A571" s="2"/>
      <c r="B571" s="106"/>
      <c r="C571" s="2"/>
      <c r="D571" s="2"/>
      <c r="E571" s="4"/>
      <c r="F571" s="5"/>
      <c r="G571" s="6"/>
      <c r="H571" s="2"/>
    </row>
    <row r="572" spans="1:8" ht="15.75">
      <c r="A572" s="2"/>
      <c r="B572" s="106"/>
      <c r="C572" s="2"/>
      <c r="D572" s="2"/>
      <c r="E572" s="4"/>
      <c r="F572" s="5"/>
      <c r="G572" s="6"/>
      <c r="H572" s="2"/>
    </row>
    <row r="573" spans="1:8" ht="15.75">
      <c r="A573" s="2"/>
      <c r="B573" s="106"/>
      <c r="C573" s="2"/>
      <c r="D573" s="2"/>
      <c r="E573" s="4"/>
      <c r="F573" s="5"/>
      <c r="G573" s="6"/>
      <c r="H573" s="2"/>
    </row>
    <row r="574" spans="1:8" ht="15.75">
      <c r="A574" s="2"/>
      <c r="B574" s="106"/>
      <c r="C574" s="2"/>
      <c r="D574" s="2"/>
      <c r="E574" s="4"/>
      <c r="F574" s="5"/>
      <c r="G574" s="6"/>
      <c r="H574" s="2"/>
    </row>
    <row r="575" spans="1:8" ht="15.75">
      <c r="A575" s="2"/>
      <c r="B575" s="106"/>
      <c r="C575" s="2"/>
      <c r="D575" s="2"/>
      <c r="E575" s="4"/>
      <c r="F575" s="5"/>
      <c r="G575" s="6"/>
      <c r="H575" s="2"/>
    </row>
    <row r="576" spans="1:8" ht="15.75">
      <c r="A576" s="2"/>
      <c r="B576" s="106"/>
      <c r="C576" s="2"/>
      <c r="D576" s="2"/>
      <c r="E576" s="4"/>
      <c r="F576" s="5"/>
      <c r="G576" s="6"/>
      <c r="H576" s="2"/>
    </row>
    <row r="577" spans="1:8" ht="15.75">
      <c r="A577" s="2"/>
      <c r="B577" s="106"/>
      <c r="C577" s="2"/>
      <c r="D577" s="2"/>
      <c r="E577" s="4"/>
      <c r="F577" s="5"/>
      <c r="G577" s="6"/>
      <c r="H577" s="2"/>
    </row>
    <row r="578" spans="1:8" ht="15.75">
      <c r="A578" s="2"/>
      <c r="B578" s="106"/>
      <c r="C578" s="2"/>
      <c r="D578" s="2"/>
      <c r="E578" s="4"/>
      <c r="F578" s="5"/>
      <c r="G578" s="6"/>
      <c r="H578" s="2"/>
    </row>
    <row r="579" spans="1:8" ht="15.75">
      <c r="A579" s="2"/>
      <c r="B579" s="106"/>
      <c r="C579" s="2"/>
      <c r="D579" s="2"/>
      <c r="E579" s="4"/>
      <c r="F579" s="5"/>
      <c r="G579" s="6"/>
      <c r="H579" s="2"/>
    </row>
    <row r="580" spans="1:8" ht="15.75">
      <c r="A580" s="2"/>
      <c r="B580" s="106"/>
      <c r="C580" s="2"/>
      <c r="D580" s="2"/>
      <c r="E580" s="4"/>
      <c r="F580" s="5"/>
      <c r="G580" s="6"/>
      <c r="H580" s="2"/>
    </row>
    <row r="581" spans="1:8" ht="15.75">
      <c r="A581" s="2"/>
      <c r="B581" s="106"/>
      <c r="C581" s="2"/>
      <c r="D581" s="2"/>
      <c r="E581" s="4"/>
      <c r="F581" s="5"/>
      <c r="G581" s="6"/>
      <c r="H581" s="2"/>
    </row>
    <row r="582" spans="1:8" ht="15.75">
      <c r="A582" s="2"/>
      <c r="B582" s="106"/>
      <c r="C582" s="2"/>
      <c r="D582" s="2"/>
      <c r="E582" s="4"/>
      <c r="F582" s="5"/>
      <c r="G582" s="6"/>
      <c r="H582" s="2"/>
    </row>
    <row r="583" spans="1:8" ht="15.75">
      <c r="A583" s="2"/>
      <c r="B583" s="106"/>
      <c r="C583" s="2"/>
      <c r="D583" s="2"/>
      <c r="E583" s="4"/>
      <c r="F583" s="5"/>
      <c r="G583" s="6"/>
      <c r="H583" s="2"/>
    </row>
    <row r="584" spans="1:8" ht="15.75">
      <c r="A584" s="2"/>
      <c r="B584" s="106"/>
      <c r="C584" s="2"/>
      <c r="D584" s="2"/>
      <c r="E584" s="4"/>
      <c r="F584" s="5"/>
      <c r="G584" s="6"/>
      <c r="H584" s="2"/>
    </row>
    <row r="585" spans="1:8" ht="15.75">
      <c r="A585" s="2"/>
      <c r="B585" s="106"/>
      <c r="C585" s="2"/>
      <c r="D585" s="2"/>
      <c r="E585" s="4"/>
      <c r="F585" s="5"/>
      <c r="G585" s="6"/>
      <c r="H585" s="2"/>
    </row>
    <row r="586" spans="1:8" ht="15.75">
      <c r="A586" s="2"/>
      <c r="B586" s="106"/>
      <c r="C586" s="2"/>
      <c r="D586" s="2"/>
      <c r="E586" s="4"/>
      <c r="F586" s="5"/>
      <c r="G586" s="6"/>
      <c r="H586" s="2"/>
    </row>
    <row r="587" spans="1:8" ht="15.75">
      <c r="A587" s="2"/>
      <c r="B587" s="106"/>
      <c r="C587" s="2"/>
      <c r="D587" s="2"/>
      <c r="E587" s="4"/>
      <c r="F587" s="5"/>
      <c r="G587" s="6"/>
      <c r="H587" s="2"/>
    </row>
    <row r="588" spans="1:8" ht="15.75">
      <c r="A588" s="2"/>
      <c r="B588" s="106"/>
      <c r="C588" s="2"/>
      <c r="D588" s="2"/>
      <c r="E588" s="4"/>
      <c r="F588" s="5"/>
      <c r="G588" s="6"/>
      <c r="H588" s="2"/>
    </row>
    <row r="589" spans="1:8" ht="15.75">
      <c r="A589" s="2"/>
      <c r="B589" s="106"/>
      <c r="C589" s="2"/>
      <c r="D589" s="2"/>
      <c r="E589" s="4"/>
      <c r="F589" s="5"/>
      <c r="G589" s="6"/>
      <c r="H589" s="2"/>
    </row>
    <row r="590" spans="1:8" ht="15.75">
      <c r="A590" s="2"/>
      <c r="B590" s="106"/>
      <c r="C590" s="2"/>
      <c r="D590" s="2"/>
      <c r="E590" s="4"/>
      <c r="F590" s="5"/>
      <c r="G590" s="6"/>
      <c r="H590" s="2"/>
    </row>
    <row r="591" spans="1:8" ht="15.75">
      <c r="A591" s="2"/>
      <c r="B591" s="106"/>
      <c r="C591" s="2"/>
      <c r="D591" s="2"/>
      <c r="E591" s="4"/>
      <c r="F591" s="5"/>
      <c r="G591" s="6"/>
      <c r="H591" s="2"/>
    </row>
    <row r="592" spans="1:8" ht="15.75">
      <c r="A592" s="2"/>
      <c r="B592" s="106"/>
      <c r="C592" s="2"/>
      <c r="D592" s="2"/>
      <c r="E592" s="4"/>
      <c r="F592" s="5"/>
      <c r="G592" s="6"/>
      <c r="H592" s="2"/>
    </row>
    <row r="593" spans="1:8" ht="15.75">
      <c r="A593" s="2"/>
      <c r="B593" s="106"/>
      <c r="C593" s="2"/>
      <c r="D593" s="2"/>
      <c r="E593" s="4"/>
      <c r="F593" s="5"/>
      <c r="G593" s="6"/>
      <c r="H593" s="2"/>
    </row>
    <row r="594" spans="1:8" ht="15.75">
      <c r="A594" s="2"/>
      <c r="B594" s="106"/>
      <c r="C594" s="2"/>
      <c r="D594" s="2"/>
      <c r="E594" s="4"/>
      <c r="F594" s="5"/>
      <c r="G594" s="6"/>
      <c r="H594" s="2"/>
    </row>
    <row r="595" spans="1:8" ht="15.75">
      <c r="A595" s="2"/>
      <c r="B595" s="106"/>
      <c r="C595" s="2"/>
      <c r="D595" s="2"/>
      <c r="E595" s="4"/>
      <c r="F595" s="5"/>
      <c r="G595" s="6"/>
      <c r="H595" s="2"/>
    </row>
    <row r="596" spans="1:8" ht="15.75">
      <c r="A596" s="2"/>
      <c r="B596" s="106"/>
      <c r="C596" s="2"/>
      <c r="D596" s="2"/>
      <c r="E596" s="4"/>
      <c r="F596" s="5"/>
      <c r="G596" s="6"/>
      <c r="H596" s="2"/>
    </row>
    <row r="597" spans="1:8" ht="15.75">
      <c r="A597" s="2"/>
      <c r="B597" s="106"/>
      <c r="C597" s="2"/>
      <c r="D597" s="2"/>
      <c r="E597" s="4"/>
      <c r="F597" s="5"/>
      <c r="G597" s="6"/>
      <c r="H597" s="2"/>
    </row>
    <row r="598" spans="1:8" ht="15.75">
      <c r="A598" s="2"/>
      <c r="B598" s="106"/>
      <c r="C598" s="2"/>
      <c r="D598" s="2"/>
      <c r="E598" s="4"/>
      <c r="F598" s="5"/>
      <c r="G598" s="6"/>
      <c r="H598" s="2"/>
    </row>
    <row r="599" spans="1:8" ht="15.75">
      <c r="A599" s="2"/>
      <c r="B599" s="106"/>
      <c r="C599" s="2"/>
      <c r="D599" s="2"/>
      <c r="E599" s="4"/>
      <c r="F599" s="5"/>
      <c r="G599" s="6"/>
      <c r="H599" s="2"/>
    </row>
    <row r="600" spans="1:8" ht="15.75">
      <c r="A600" s="2"/>
      <c r="B600" s="106"/>
      <c r="C600" s="2"/>
      <c r="D600" s="2"/>
      <c r="E600" s="4"/>
      <c r="F600" s="5"/>
      <c r="G600" s="6"/>
      <c r="H600" s="2"/>
    </row>
    <row r="601" spans="1:8" ht="15.75">
      <c r="A601" s="2"/>
      <c r="B601" s="106"/>
      <c r="C601" s="2"/>
      <c r="D601" s="2"/>
      <c r="E601" s="4"/>
      <c r="F601" s="5"/>
      <c r="G601" s="6"/>
      <c r="H601" s="2"/>
    </row>
    <row r="602" spans="1:8" ht="15.75">
      <c r="A602" s="2"/>
      <c r="B602" s="106"/>
      <c r="C602" s="2"/>
      <c r="D602" s="2"/>
      <c r="E602" s="4"/>
      <c r="F602" s="5"/>
      <c r="G602" s="6"/>
      <c r="H602" s="2"/>
    </row>
    <row r="603" spans="1:8" ht="15.75">
      <c r="A603" s="2"/>
      <c r="B603" s="106"/>
      <c r="C603" s="2"/>
      <c r="D603" s="2"/>
      <c r="E603" s="4"/>
      <c r="F603" s="5"/>
      <c r="G603" s="6"/>
      <c r="H603" s="2"/>
    </row>
    <row r="604" spans="1:8" ht="15.75">
      <c r="A604" s="2"/>
      <c r="B604" s="106"/>
      <c r="C604" s="2"/>
      <c r="D604" s="2"/>
      <c r="E604" s="4"/>
      <c r="F604" s="5"/>
      <c r="G604" s="6"/>
      <c r="H604" s="2"/>
    </row>
    <row r="605" spans="1:8" ht="15.75">
      <c r="A605" s="2"/>
      <c r="B605" s="106"/>
      <c r="C605" s="2"/>
      <c r="D605" s="2"/>
      <c r="E605" s="4"/>
      <c r="F605" s="5"/>
      <c r="G605" s="6"/>
      <c r="H605" s="2"/>
    </row>
    <row r="606" spans="1:8" ht="15.75">
      <c r="A606" s="2"/>
      <c r="B606" s="106"/>
      <c r="C606" s="2"/>
      <c r="D606" s="2"/>
      <c r="E606" s="4"/>
      <c r="F606" s="5"/>
      <c r="G606" s="6"/>
      <c r="H606" s="2"/>
    </row>
    <row r="607" spans="1:8" ht="15.75">
      <c r="A607" s="2"/>
      <c r="B607" s="106"/>
      <c r="C607" s="2"/>
      <c r="D607" s="2"/>
      <c r="E607" s="4"/>
      <c r="F607" s="5"/>
      <c r="G607" s="6"/>
      <c r="H607" s="2"/>
    </row>
    <row r="608" spans="1:8" ht="15.75">
      <c r="A608" s="2"/>
      <c r="B608" s="106"/>
      <c r="C608" s="2"/>
      <c r="D608" s="2"/>
      <c r="E608" s="4"/>
      <c r="F608" s="5"/>
      <c r="G608" s="6"/>
      <c r="H608" s="2"/>
    </row>
    <row r="609" spans="1:8" ht="15.75">
      <c r="A609" s="2"/>
      <c r="B609" s="106"/>
      <c r="C609" s="2"/>
      <c r="D609" s="2"/>
      <c r="E609" s="4"/>
      <c r="F609" s="5"/>
      <c r="G609" s="6"/>
      <c r="H609" s="2"/>
    </row>
    <row r="610" spans="1:8" ht="15.75">
      <c r="A610" s="2"/>
      <c r="B610" s="106"/>
      <c r="C610" s="2"/>
      <c r="D610" s="2"/>
      <c r="E610" s="4"/>
      <c r="F610" s="5"/>
      <c r="G610" s="6"/>
      <c r="H610" s="2"/>
    </row>
    <row r="611" spans="1:8" ht="15.75">
      <c r="A611" s="2"/>
      <c r="B611" s="106"/>
      <c r="C611" s="2"/>
      <c r="D611" s="2"/>
      <c r="E611" s="4"/>
      <c r="F611" s="5"/>
      <c r="G611" s="6"/>
      <c r="H611" s="2"/>
    </row>
    <row r="612" spans="1:8" ht="15.75">
      <c r="A612" s="2"/>
      <c r="B612" s="106"/>
      <c r="C612" s="2"/>
      <c r="D612" s="2"/>
      <c r="E612" s="4"/>
      <c r="F612" s="5"/>
      <c r="G612" s="6"/>
      <c r="H612" s="2"/>
    </row>
    <row r="613" spans="1:8" ht="15.75">
      <c r="A613" s="2"/>
      <c r="B613" s="106"/>
      <c r="C613" s="2"/>
      <c r="D613" s="2"/>
      <c r="E613" s="4"/>
      <c r="F613" s="5"/>
      <c r="G613" s="6"/>
      <c r="H613" s="2"/>
    </row>
    <row r="614" spans="1:8" ht="15.75">
      <c r="A614" s="2"/>
      <c r="B614" s="106"/>
      <c r="C614" s="2"/>
      <c r="D614" s="2"/>
      <c r="E614" s="4"/>
      <c r="F614" s="5"/>
      <c r="G614" s="6"/>
      <c r="H614" s="2"/>
    </row>
    <row r="615" spans="1:8" ht="15.75">
      <c r="A615" s="2"/>
      <c r="B615" s="106"/>
      <c r="C615" s="2"/>
      <c r="D615" s="2"/>
      <c r="E615" s="4"/>
      <c r="F615" s="5"/>
      <c r="G615" s="6"/>
      <c r="H615" s="2"/>
    </row>
    <row r="616" spans="1:8" ht="15.75">
      <c r="A616" s="2"/>
      <c r="B616" s="106"/>
      <c r="C616" s="2"/>
      <c r="D616" s="2"/>
      <c r="E616" s="4"/>
      <c r="F616" s="5"/>
      <c r="G616" s="6"/>
      <c r="H616" s="2"/>
    </row>
    <row r="617" spans="1:8" ht="15.75">
      <c r="A617" s="2"/>
      <c r="B617" s="106"/>
      <c r="C617" s="2"/>
      <c r="D617" s="2"/>
      <c r="E617" s="4"/>
      <c r="F617" s="5"/>
      <c r="G617" s="6"/>
      <c r="H617" s="2"/>
    </row>
    <row r="618" spans="1:8" ht="15.75">
      <c r="A618" s="2"/>
      <c r="B618" s="106"/>
      <c r="C618" s="2"/>
      <c r="D618" s="2"/>
      <c r="E618" s="4"/>
      <c r="F618" s="5"/>
      <c r="G618" s="6"/>
      <c r="H618" s="2"/>
    </row>
    <row r="619" spans="1:8" ht="15.75">
      <c r="A619" s="2"/>
      <c r="B619" s="106"/>
      <c r="C619" s="2"/>
      <c r="D619" s="2"/>
      <c r="E619" s="4"/>
      <c r="F619" s="5"/>
      <c r="G619" s="6"/>
      <c r="H619" s="2"/>
    </row>
    <row r="620" spans="1:8" ht="15.75">
      <c r="A620" s="2"/>
      <c r="B620" s="106"/>
      <c r="C620" s="2"/>
      <c r="D620" s="2"/>
      <c r="E620" s="4"/>
      <c r="F620" s="5"/>
      <c r="G620" s="6"/>
      <c r="H620" s="2"/>
    </row>
    <row r="621" spans="1:8" ht="15.75">
      <c r="A621" s="2"/>
      <c r="B621" s="106"/>
      <c r="C621" s="2"/>
      <c r="D621" s="2"/>
      <c r="E621" s="4"/>
      <c r="F621" s="5"/>
      <c r="G621" s="6"/>
      <c r="H621" s="2"/>
    </row>
    <row r="622" spans="1:8" ht="15.75">
      <c r="A622" s="2"/>
      <c r="B622" s="106"/>
      <c r="C622" s="2"/>
      <c r="D622" s="2"/>
      <c r="E622" s="4"/>
      <c r="F622" s="5"/>
      <c r="G622" s="6"/>
      <c r="H622" s="2"/>
    </row>
    <row r="623" spans="1:8" ht="15.75">
      <c r="A623" s="2"/>
      <c r="B623" s="106"/>
      <c r="C623" s="2"/>
      <c r="D623" s="2"/>
      <c r="E623" s="4"/>
      <c r="F623" s="5"/>
      <c r="G623" s="6"/>
      <c r="H623" s="2"/>
    </row>
    <row r="624" spans="1:8" ht="15.75">
      <c r="A624" s="2"/>
      <c r="B624" s="106"/>
      <c r="C624" s="2"/>
      <c r="D624" s="2"/>
      <c r="E624" s="4"/>
      <c r="F624" s="5"/>
      <c r="G624" s="6"/>
      <c r="H624" s="2"/>
    </row>
    <row r="625" spans="1:8" ht="15.75">
      <c r="A625" s="2"/>
      <c r="B625" s="106"/>
      <c r="C625" s="2"/>
      <c r="D625" s="2"/>
      <c r="E625" s="4"/>
      <c r="F625" s="5"/>
      <c r="G625" s="6"/>
      <c r="H625" s="2"/>
    </row>
    <row r="626" spans="1:8" ht="15.75">
      <c r="A626" s="2"/>
      <c r="B626" s="106"/>
      <c r="C626" s="2"/>
      <c r="D626" s="2"/>
      <c r="E626" s="4"/>
      <c r="F626" s="5"/>
      <c r="G626" s="6"/>
      <c r="H626" s="2"/>
    </row>
    <row r="627" spans="1:8" ht="15.75">
      <c r="A627" s="2"/>
      <c r="B627" s="106"/>
      <c r="C627" s="2"/>
      <c r="D627" s="2"/>
      <c r="E627" s="4"/>
      <c r="F627" s="5"/>
      <c r="G627" s="6"/>
      <c r="H627" s="2"/>
    </row>
    <row r="628" spans="1:8" ht="15.75">
      <c r="A628" s="2"/>
      <c r="B628" s="106"/>
      <c r="C628" s="2"/>
      <c r="D628" s="2"/>
      <c r="E628" s="4"/>
      <c r="F628" s="5"/>
      <c r="G628" s="6"/>
      <c r="H628" s="2"/>
    </row>
    <row r="629" spans="1:8" ht="15.75">
      <c r="A629" s="2"/>
      <c r="B629" s="106"/>
      <c r="C629" s="2"/>
      <c r="D629" s="2"/>
      <c r="E629" s="4"/>
      <c r="F629" s="5"/>
      <c r="G629" s="6"/>
      <c r="H629" s="2"/>
    </row>
    <row r="630" spans="1:8" ht="15.75">
      <c r="A630" s="2"/>
      <c r="B630" s="106"/>
      <c r="C630" s="2"/>
      <c r="D630" s="2"/>
      <c r="E630" s="4"/>
      <c r="F630" s="5"/>
      <c r="G630" s="6"/>
      <c r="H630" s="2"/>
    </row>
    <row r="631" spans="1:8" ht="15.75">
      <c r="A631" s="2"/>
      <c r="B631" s="106"/>
      <c r="C631" s="2"/>
      <c r="D631" s="2"/>
      <c r="E631" s="4"/>
      <c r="F631" s="5"/>
      <c r="G631" s="6"/>
      <c r="H631" s="2"/>
    </row>
    <row r="632" spans="1:8" ht="15.75">
      <c r="A632" s="2"/>
      <c r="B632" s="106"/>
      <c r="C632" s="2"/>
      <c r="D632" s="2"/>
      <c r="E632" s="4"/>
      <c r="F632" s="5"/>
      <c r="G632" s="6"/>
      <c r="H632" s="2"/>
    </row>
    <row r="633" spans="1:8" ht="15.75">
      <c r="A633" s="2"/>
      <c r="B633" s="106"/>
      <c r="C633" s="2"/>
      <c r="D633" s="2"/>
      <c r="E633" s="4"/>
      <c r="F633" s="5"/>
      <c r="G633" s="6"/>
      <c r="H633" s="2"/>
    </row>
    <row r="634" spans="1:8" ht="15.75">
      <c r="A634" s="2"/>
      <c r="B634" s="106"/>
      <c r="C634" s="2"/>
      <c r="D634" s="2"/>
      <c r="E634" s="4"/>
      <c r="F634" s="5"/>
      <c r="G634" s="6"/>
      <c r="H634" s="2"/>
    </row>
    <row r="635" spans="1:8" ht="15.75">
      <c r="A635" s="2"/>
      <c r="B635" s="106"/>
      <c r="C635" s="2"/>
      <c r="D635" s="2"/>
      <c r="E635" s="4"/>
      <c r="F635" s="5"/>
      <c r="G635" s="6"/>
      <c r="H635" s="2"/>
    </row>
    <row r="636" spans="1:8" ht="15.75">
      <c r="A636" s="2"/>
      <c r="B636" s="106"/>
      <c r="C636" s="2"/>
      <c r="D636" s="2"/>
      <c r="E636" s="4"/>
      <c r="F636" s="5"/>
      <c r="G636" s="6"/>
      <c r="H636" s="2"/>
    </row>
    <row r="637" spans="1:8" ht="15.75">
      <c r="A637" s="2"/>
      <c r="B637" s="106"/>
      <c r="C637" s="2"/>
      <c r="D637" s="2"/>
      <c r="E637" s="4"/>
      <c r="F637" s="5"/>
      <c r="G637" s="6"/>
      <c r="H637" s="2"/>
    </row>
    <row r="638" spans="1:8" ht="15.75">
      <c r="A638" s="2"/>
      <c r="B638" s="106"/>
      <c r="C638" s="2"/>
      <c r="D638" s="2"/>
      <c r="E638" s="4"/>
      <c r="F638" s="5"/>
      <c r="G638" s="6"/>
      <c r="H638" s="2"/>
    </row>
    <row r="639" spans="1:8" ht="15.75">
      <c r="A639" s="2"/>
      <c r="B639" s="106"/>
      <c r="C639" s="2"/>
      <c r="D639" s="2"/>
      <c r="E639" s="4"/>
      <c r="F639" s="5"/>
      <c r="G639" s="6"/>
      <c r="H639" s="2"/>
    </row>
    <row r="640" spans="1:8" ht="15.75">
      <c r="A640" s="2"/>
      <c r="B640" s="106"/>
      <c r="C640" s="2"/>
      <c r="D640" s="2"/>
      <c r="E640" s="4"/>
      <c r="F640" s="5"/>
      <c r="G640" s="6"/>
      <c r="H640" s="2"/>
    </row>
    <row r="641" spans="1:8" ht="15.75">
      <c r="A641" s="2"/>
      <c r="B641" s="106"/>
      <c r="C641" s="2"/>
      <c r="D641" s="2"/>
      <c r="E641" s="4"/>
      <c r="F641" s="5"/>
      <c r="G641" s="6"/>
      <c r="H641" s="2"/>
    </row>
    <row r="642" spans="1:8" ht="15.75">
      <c r="A642" s="2"/>
      <c r="B642" s="106"/>
      <c r="C642" s="2"/>
      <c r="D642" s="2"/>
      <c r="E642" s="4"/>
      <c r="F642" s="5"/>
      <c r="G642" s="6"/>
      <c r="H642" s="2"/>
    </row>
    <row r="643" spans="1:8" ht="15.75">
      <c r="A643" s="2"/>
      <c r="B643" s="106"/>
      <c r="C643" s="2"/>
      <c r="D643" s="2"/>
      <c r="E643" s="4"/>
      <c r="F643" s="5"/>
      <c r="G643" s="6"/>
      <c r="H643" s="2"/>
    </row>
    <row r="644" spans="1:8" ht="15.75">
      <c r="A644" s="2"/>
      <c r="B644" s="106"/>
      <c r="C644" s="2"/>
      <c r="D644" s="2"/>
      <c r="E644" s="4"/>
      <c r="F644" s="5"/>
      <c r="G644" s="6"/>
      <c r="H644" s="2"/>
    </row>
    <row r="645" spans="1:8" ht="15.75">
      <c r="A645" s="2"/>
      <c r="B645" s="106"/>
      <c r="C645" s="2"/>
      <c r="D645" s="2"/>
      <c r="E645" s="4"/>
      <c r="F645" s="5"/>
      <c r="G645" s="6"/>
      <c r="H645" s="2"/>
    </row>
    <row r="646" spans="1:8" ht="15.75">
      <c r="A646" s="2"/>
      <c r="B646" s="106"/>
      <c r="C646" s="2"/>
      <c r="D646" s="2"/>
      <c r="E646" s="4"/>
      <c r="F646" s="5"/>
      <c r="G646" s="6"/>
      <c r="H646" s="2"/>
    </row>
    <row r="647" spans="1:8" ht="15.75">
      <c r="A647" s="2"/>
      <c r="B647" s="106"/>
      <c r="C647" s="2"/>
      <c r="D647" s="2"/>
      <c r="E647" s="4"/>
      <c r="F647" s="5"/>
      <c r="G647" s="6"/>
      <c r="H647" s="2"/>
    </row>
    <row r="648" spans="1:8" ht="15.75">
      <c r="A648" s="2"/>
      <c r="B648" s="106"/>
      <c r="C648" s="2"/>
      <c r="D648" s="2"/>
      <c r="E648" s="4"/>
      <c r="F648" s="5"/>
      <c r="G648" s="6"/>
      <c r="H648" s="2"/>
    </row>
    <row r="649" spans="1:8" ht="15.75">
      <c r="A649" s="2"/>
      <c r="B649" s="106"/>
      <c r="C649" s="2"/>
      <c r="D649" s="2"/>
      <c r="E649" s="4"/>
      <c r="F649" s="5"/>
      <c r="G649" s="6"/>
      <c r="H649" s="2"/>
    </row>
    <row r="650" spans="1:8" ht="15.75">
      <c r="A650" s="2"/>
      <c r="B650" s="106"/>
      <c r="C650" s="2"/>
      <c r="D650" s="2"/>
      <c r="E650" s="4"/>
      <c r="F650" s="5"/>
      <c r="G650" s="6"/>
      <c r="H650" s="2"/>
    </row>
    <row r="651" spans="1:8" ht="15.75">
      <c r="A651" s="2"/>
      <c r="B651" s="106"/>
      <c r="C651" s="2"/>
      <c r="D651" s="2"/>
      <c r="E651" s="4"/>
      <c r="F651" s="5"/>
      <c r="G651" s="6"/>
      <c r="H651" s="2"/>
    </row>
    <row r="652" spans="1:8" ht="15.75">
      <c r="A652" s="2"/>
      <c r="B652" s="106"/>
      <c r="C652" s="2"/>
      <c r="D652" s="2"/>
      <c r="E652" s="4"/>
      <c r="F652" s="5"/>
      <c r="G652" s="6"/>
      <c r="H652" s="2"/>
    </row>
    <row r="653" spans="1:8" ht="15.75">
      <c r="A653" s="2"/>
      <c r="B653" s="106"/>
      <c r="C653" s="2"/>
      <c r="D653" s="2"/>
      <c r="E653" s="4"/>
      <c r="F653" s="5"/>
      <c r="G653" s="6"/>
      <c r="H653" s="2"/>
    </row>
    <row r="654" spans="1:8" ht="15.75">
      <c r="A654" s="2"/>
      <c r="B654" s="106"/>
      <c r="C654" s="2"/>
      <c r="D654" s="2"/>
      <c r="E654" s="4"/>
      <c r="F654" s="5"/>
      <c r="G654" s="6"/>
      <c r="H654" s="2"/>
    </row>
    <row r="655" spans="1:8" ht="15.75">
      <c r="A655" s="2"/>
      <c r="B655" s="106"/>
      <c r="C655" s="2"/>
      <c r="D655" s="2"/>
      <c r="E655" s="4"/>
      <c r="F655" s="5"/>
      <c r="G655" s="6"/>
      <c r="H655" s="2"/>
    </row>
    <row r="656" spans="1:8" ht="15.75">
      <c r="A656" s="2"/>
      <c r="B656" s="106"/>
      <c r="C656" s="2"/>
      <c r="D656" s="2"/>
      <c r="E656" s="4"/>
      <c r="F656" s="5"/>
      <c r="G656" s="6"/>
      <c r="H656" s="2"/>
    </row>
    <row r="657" spans="1:8" ht="15.75">
      <c r="A657" s="2"/>
      <c r="B657" s="106"/>
      <c r="C657" s="2"/>
      <c r="D657" s="2"/>
      <c r="E657" s="4"/>
      <c r="F657" s="5"/>
      <c r="G657" s="6"/>
      <c r="H657" s="2"/>
    </row>
    <row r="658" spans="1:8" ht="15.75">
      <c r="A658" s="2"/>
      <c r="B658" s="106"/>
      <c r="C658" s="2"/>
      <c r="D658" s="2"/>
      <c r="E658" s="4"/>
      <c r="F658" s="5"/>
      <c r="G658" s="6"/>
      <c r="H658" s="2"/>
    </row>
    <row r="659" spans="1:8" ht="15.75">
      <c r="A659" s="2"/>
      <c r="B659" s="106"/>
      <c r="C659" s="2"/>
      <c r="D659" s="2"/>
      <c r="E659" s="4"/>
      <c r="F659" s="5"/>
      <c r="G659" s="6"/>
      <c r="H659" s="2"/>
    </row>
    <row r="660" spans="1:8" ht="15.75">
      <c r="A660" s="2"/>
      <c r="B660" s="106"/>
      <c r="C660" s="2"/>
      <c r="D660" s="2"/>
      <c r="E660" s="4"/>
      <c r="F660" s="5"/>
      <c r="G660" s="6"/>
      <c r="H660" s="2"/>
    </row>
    <row r="661" spans="1:8" ht="15.75">
      <c r="A661" s="2"/>
      <c r="B661" s="106"/>
      <c r="C661" s="2"/>
      <c r="D661" s="2"/>
      <c r="E661" s="4"/>
      <c r="F661" s="5"/>
      <c r="G661" s="6"/>
      <c r="H661" s="2"/>
    </row>
    <row r="662" spans="1:8" ht="15.75">
      <c r="A662" s="2"/>
      <c r="B662" s="106"/>
      <c r="C662" s="2"/>
      <c r="D662" s="2"/>
      <c r="E662" s="4"/>
      <c r="F662" s="5"/>
      <c r="G662" s="6"/>
      <c r="H662" s="2"/>
    </row>
    <row r="663" spans="1:8" ht="15.75">
      <c r="A663" s="2"/>
      <c r="B663" s="106"/>
      <c r="C663" s="2"/>
      <c r="D663" s="2"/>
      <c r="E663" s="4"/>
      <c r="F663" s="5"/>
      <c r="G663" s="6"/>
      <c r="H663" s="2"/>
    </row>
    <row r="664" spans="1:8" ht="15.75">
      <c r="A664" s="2"/>
      <c r="B664" s="106"/>
      <c r="C664" s="2"/>
      <c r="D664" s="2"/>
      <c r="E664" s="4"/>
      <c r="F664" s="5"/>
      <c r="G664" s="6"/>
      <c r="H664" s="2"/>
    </row>
    <row r="665" spans="1:8" ht="15.75">
      <c r="A665" s="2"/>
      <c r="B665" s="106"/>
      <c r="C665" s="2"/>
      <c r="D665" s="2"/>
      <c r="E665" s="4"/>
      <c r="F665" s="5"/>
      <c r="G665" s="6"/>
      <c r="H665" s="2"/>
    </row>
    <row r="666" spans="1:8" ht="15.75">
      <c r="A666" s="2"/>
      <c r="B666" s="106"/>
      <c r="C666" s="2"/>
      <c r="D666" s="2"/>
      <c r="E666" s="4"/>
      <c r="F666" s="5"/>
      <c r="G666" s="6"/>
      <c r="H666" s="2"/>
    </row>
    <row r="667" spans="1:8" ht="15.75">
      <c r="A667" s="2"/>
      <c r="B667" s="106"/>
      <c r="C667" s="2"/>
      <c r="D667" s="2"/>
      <c r="E667" s="4"/>
      <c r="F667" s="5"/>
      <c r="G667" s="6"/>
      <c r="H667" s="2"/>
    </row>
    <row r="668" spans="1:8" ht="15.75">
      <c r="A668" s="2"/>
      <c r="B668" s="106"/>
      <c r="C668" s="2"/>
      <c r="D668" s="2"/>
      <c r="E668" s="4"/>
      <c r="F668" s="5"/>
      <c r="G668" s="6"/>
      <c r="H668" s="2"/>
    </row>
    <row r="669" spans="1:8" ht="15.75">
      <c r="A669" s="2"/>
      <c r="B669" s="106"/>
      <c r="C669" s="2"/>
      <c r="D669" s="2"/>
      <c r="E669" s="4"/>
      <c r="F669" s="5"/>
      <c r="G669" s="6"/>
      <c r="H669" s="2"/>
    </row>
    <row r="670" spans="1:8" ht="15.75">
      <c r="A670" s="2"/>
      <c r="B670" s="106"/>
      <c r="C670" s="2"/>
      <c r="D670" s="2"/>
      <c r="E670" s="4"/>
      <c r="F670" s="5"/>
      <c r="G670" s="6"/>
      <c r="H670" s="2"/>
    </row>
    <row r="671" spans="1:8" ht="15.75">
      <c r="A671" s="2"/>
      <c r="B671" s="106"/>
      <c r="C671" s="2"/>
      <c r="D671" s="2"/>
      <c r="E671" s="4"/>
      <c r="F671" s="5"/>
      <c r="G671" s="6"/>
      <c r="H671" s="2"/>
    </row>
    <row r="672" spans="1:8" ht="15.75">
      <c r="A672" s="2"/>
      <c r="B672" s="106"/>
      <c r="C672" s="2"/>
      <c r="D672" s="2"/>
      <c r="E672" s="4"/>
      <c r="F672" s="5"/>
      <c r="G672" s="6"/>
      <c r="H672" s="2"/>
    </row>
    <row r="673" spans="1:8" ht="15.75">
      <c r="A673" s="2"/>
      <c r="B673" s="106"/>
      <c r="C673" s="2"/>
      <c r="D673" s="2"/>
      <c r="E673" s="4"/>
      <c r="F673" s="5"/>
      <c r="G673" s="6"/>
      <c r="H673" s="2"/>
    </row>
    <row r="674" spans="1:8" ht="15.75">
      <c r="A674" s="2"/>
      <c r="B674" s="106"/>
      <c r="C674" s="2"/>
      <c r="D674" s="2"/>
      <c r="E674" s="4"/>
      <c r="F674" s="5"/>
      <c r="G674" s="6"/>
      <c r="H674" s="2"/>
    </row>
    <row r="675" spans="1:8" ht="15.75">
      <c r="A675" s="2"/>
      <c r="B675" s="106"/>
      <c r="C675" s="2"/>
      <c r="D675" s="2"/>
      <c r="E675" s="4"/>
      <c r="F675" s="5"/>
      <c r="G675" s="6"/>
      <c r="H675" s="2"/>
    </row>
    <row r="676" spans="1:8" ht="15.75">
      <c r="A676" s="2"/>
      <c r="B676" s="106"/>
      <c r="C676" s="2"/>
      <c r="D676" s="2"/>
      <c r="E676" s="4"/>
      <c r="F676" s="5"/>
      <c r="G676" s="6"/>
      <c r="H676" s="2"/>
    </row>
    <row r="677" spans="1:8" ht="15.75">
      <c r="A677" s="2"/>
      <c r="B677" s="106"/>
      <c r="C677" s="2"/>
      <c r="D677" s="2"/>
      <c r="E677" s="4"/>
      <c r="F677" s="5"/>
      <c r="G677" s="6"/>
      <c r="H677" s="2"/>
    </row>
    <row r="678" spans="1:8" ht="15.75">
      <c r="A678" s="2"/>
      <c r="B678" s="106"/>
      <c r="C678" s="2"/>
      <c r="D678" s="2"/>
      <c r="E678" s="4"/>
      <c r="F678" s="5"/>
      <c r="G678" s="6"/>
      <c r="H678" s="2"/>
    </row>
    <row r="679" spans="1:8" ht="15.75">
      <c r="A679" s="2"/>
      <c r="B679" s="106"/>
      <c r="C679" s="2"/>
      <c r="D679" s="2"/>
      <c r="E679" s="4"/>
      <c r="F679" s="5"/>
      <c r="G679" s="6"/>
      <c r="H679" s="2"/>
    </row>
    <row r="680" spans="1:8" ht="15.75">
      <c r="A680" s="2"/>
      <c r="B680" s="106"/>
      <c r="C680" s="2"/>
      <c r="D680" s="2"/>
      <c r="E680" s="4"/>
      <c r="F680" s="5"/>
      <c r="G680" s="6"/>
      <c r="H680" s="2"/>
    </row>
    <row r="681" spans="1:8" ht="15.75">
      <c r="A681" s="2"/>
      <c r="B681" s="106"/>
      <c r="C681" s="2"/>
      <c r="D681" s="2"/>
      <c r="E681" s="4"/>
      <c r="F681" s="5"/>
      <c r="G681" s="6"/>
      <c r="H681" s="2"/>
    </row>
    <row r="682" spans="1:8" ht="15.75">
      <c r="A682" s="2"/>
      <c r="B682" s="106"/>
      <c r="C682" s="2"/>
      <c r="D682" s="2"/>
      <c r="E682" s="4"/>
      <c r="F682" s="5"/>
      <c r="G682" s="6"/>
      <c r="H682" s="2"/>
    </row>
    <row r="683" spans="1:8" ht="15.75">
      <c r="A683" s="2"/>
      <c r="B683" s="106"/>
      <c r="C683" s="2"/>
      <c r="D683" s="2"/>
      <c r="E683" s="4"/>
      <c r="F683" s="5"/>
      <c r="G683" s="6"/>
      <c r="H683" s="2"/>
    </row>
    <row r="684" spans="1:8" ht="15.75">
      <c r="A684" s="2"/>
      <c r="B684" s="106"/>
      <c r="C684" s="2"/>
      <c r="D684" s="2"/>
      <c r="E684" s="4"/>
      <c r="F684" s="5"/>
      <c r="G684" s="6"/>
      <c r="H684" s="2"/>
    </row>
    <row r="685" spans="1:8" ht="15.75">
      <c r="A685" s="2"/>
      <c r="B685" s="106"/>
      <c r="C685" s="2"/>
      <c r="D685" s="2"/>
      <c r="E685" s="4"/>
      <c r="F685" s="5"/>
      <c r="G685" s="6"/>
      <c r="H685" s="2"/>
    </row>
    <row r="686" spans="1:8" ht="15.75">
      <c r="A686" s="2"/>
      <c r="B686" s="106"/>
      <c r="C686" s="2"/>
      <c r="D686" s="2"/>
      <c r="E686" s="4"/>
      <c r="F686" s="5"/>
      <c r="G686" s="6"/>
      <c r="H686" s="2"/>
    </row>
    <row r="687" spans="1:8" ht="15.75">
      <c r="A687" s="2"/>
      <c r="B687" s="106"/>
      <c r="C687" s="2"/>
      <c r="D687" s="2"/>
      <c r="E687" s="4"/>
      <c r="F687" s="5"/>
      <c r="G687" s="6"/>
      <c r="H687" s="2"/>
    </row>
    <row r="688" spans="1:8" ht="15.75">
      <c r="A688" s="2"/>
      <c r="B688" s="106"/>
      <c r="C688" s="2"/>
      <c r="D688" s="2"/>
      <c r="E688" s="4"/>
      <c r="F688" s="5"/>
      <c r="G688" s="6"/>
      <c r="H688" s="2"/>
    </row>
    <row r="689" spans="1:8" ht="15.75">
      <c r="A689" s="2"/>
      <c r="B689" s="106"/>
      <c r="C689" s="2"/>
      <c r="D689" s="2"/>
      <c r="E689" s="4"/>
      <c r="F689" s="5"/>
      <c r="G689" s="6"/>
      <c r="H689" s="2"/>
    </row>
    <row r="690" spans="1:8" ht="15.75">
      <c r="A690" s="2"/>
      <c r="B690" s="106"/>
      <c r="C690" s="2"/>
      <c r="D690" s="2"/>
      <c r="E690" s="4"/>
      <c r="F690" s="5"/>
      <c r="G690" s="6"/>
      <c r="H690" s="2"/>
    </row>
    <row r="691" spans="1:8" ht="15.75">
      <c r="A691" s="2"/>
      <c r="B691" s="106"/>
      <c r="C691" s="2"/>
      <c r="D691" s="2"/>
      <c r="E691" s="4"/>
      <c r="F691" s="5"/>
      <c r="G691" s="6"/>
      <c r="H691" s="2"/>
    </row>
    <row r="692" spans="1:8" ht="15.75">
      <c r="A692" s="2"/>
      <c r="B692" s="106"/>
      <c r="C692" s="2"/>
      <c r="D692" s="2"/>
      <c r="E692" s="4"/>
      <c r="F692" s="5"/>
      <c r="G692" s="6"/>
      <c r="H692" s="2"/>
    </row>
    <row r="693" spans="1:8" ht="15.75">
      <c r="A693" s="2"/>
      <c r="B693" s="106"/>
      <c r="C693" s="2"/>
      <c r="D693" s="2"/>
      <c r="E693" s="4"/>
      <c r="F693" s="5"/>
      <c r="G693" s="6"/>
      <c r="H693" s="2"/>
    </row>
    <row r="694" spans="1:8" ht="15.75">
      <c r="A694" s="2"/>
      <c r="B694" s="106"/>
      <c r="C694" s="2"/>
      <c r="D694" s="2"/>
      <c r="E694" s="4"/>
      <c r="F694" s="5"/>
      <c r="G694" s="6"/>
      <c r="H694" s="2"/>
    </row>
    <row r="695" spans="1:8" ht="15.75">
      <c r="A695" s="2"/>
      <c r="B695" s="106"/>
      <c r="C695" s="2"/>
      <c r="D695" s="2"/>
      <c r="E695" s="4"/>
      <c r="F695" s="5"/>
      <c r="G695" s="6"/>
      <c r="H695" s="2"/>
    </row>
    <row r="696" spans="1:8" ht="15.75">
      <c r="A696" s="2"/>
      <c r="B696" s="106"/>
      <c r="C696" s="2"/>
      <c r="D696" s="2"/>
      <c r="E696" s="4"/>
      <c r="F696" s="5"/>
      <c r="G696" s="6"/>
      <c r="H696" s="2"/>
    </row>
    <row r="697" spans="1:8" ht="15.75">
      <c r="A697" s="2"/>
      <c r="B697" s="106"/>
      <c r="C697" s="2"/>
      <c r="D697" s="2"/>
      <c r="E697" s="4"/>
      <c r="F697" s="5"/>
      <c r="G697" s="6"/>
      <c r="H697" s="2"/>
    </row>
    <row r="698" spans="1:8" ht="15.75">
      <c r="A698" s="2"/>
      <c r="B698" s="106"/>
      <c r="C698" s="2"/>
      <c r="D698" s="2"/>
      <c r="E698" s="4"/>
      <c r="F698" s="5"/>
      <c r="G698" s="6"/>
      <c r="H698" s="2"/>
    </row>
    <row r="699" spans="1:8" ht="15.75">
      <c r="A699" s="2"/>
      <c r="B699" s="106"/>
      <c r="C699" s="2"/>
      <c r="D699" s="2"/>
      <c r="E699" s="4"/>
      <c r="F699" s="5"/>
      <c r="G699" s="6"/>
      <c r="H699" s="2"/>
    </row>
    <row r="700" spans="1:8" ht="15.75">
      <c r="A700" s="2"/>
      <c r="B700" s="106"/>
      <c r="C700" s="2"/>
      <c r="D700" s="2"/>
      <c r="E700" s="4"/>
      <c r="F700" s="5"/>
      <c r="G700" s="6"/>
      <c r="H700" s="2"/>
    </row>
    <row r="701" spans="1:8" ht="15.75">
      <c r="A701" s="2"/>
      <c r="B701" s="106"/>
      <c r="C701" s="2"/>
      <c r="D701" s="2"/>
      <c r="E701" s="4"/>
      <c r="F701" s="5"/>
      <c r="G701" s="6"/>
      <c r="H701" s="2"/>
    </row>
    <row r="702" spans="1:8" ht="15.75">
      <c r="A702" s="2"/>
      <c r="B702" s="106"/>
      <c r="C702" s="2"/>
      <c r="D702" s="2"/>
      <c r="E702" s="4"/>
      <c r="F702" s="5"/>
      <c r="G702" s="6"/>
      <c r="H702" s="2"/>
    </row>
    <row r="703" spans="1:8" ht="15.75">
      <c r="A703" s="2"/>
      <c r="B703" s="106"/>
      <c r="C703" s="2"/>
      <c r="D703" s="2"/>
      <c r="E703" s="4"/>
      <c r="F703" s="5"/>
      <c r="G703" s="6"/>
      <c r="H703" s="2"/>
    </row>
    <row r="704" spans="1:8" ht="15.75">
      <c r="A704" s="2"/>
      <c r="B704" s="106"/>
      <c r="C704" s="2"/>
      <c r="D704" s="2"/>
      <c r="E704" s="4"/>
      <c r="F704" s="5"/>
      <c r="G704" s="6"/>
      <c r="H704" s="2"/>
    </row>
    <row r="705" spans="1:8" ht="15.75">
      <c r="A705" s="2"/>
      <c r="B705" s="106"/>
      <c r="C705" s="2"/>
      <c r="D705" s="2"/>
      <c r="E705" s="4"/>
      <c r="F705" s="5"/>
      <c r="G705" s="6"/>
      <c r="H705" s="2"/>
    </row>
    <row r="706" spans="1:8" ht="15.75">
      <c r="A706" s="2"/>
      <c r="B706" s="106"/>
      <c r="C706" s="2"/>
      <c r="D706" s="2"/>
      <c r="E706" s="4"/>
      <c r="F706" s="5"/>
      <c r="G706" s="6"/>
      <c r="H706" s="2"/>
    </row>
    <row r="707" spans="1:8" ht="15.75">
      <c r="A707" s="2"/>
      <c r="B707" s="106"/>
      <c r="C707" s="2"/>
      <c r="D707" s="2"/>
      <c r="E707" s="4"/>
      <c r="F707" s="5"/>
      <c r="G707" s="6"/>
      <c r="H707" s="2"/>
    </row>
    <row r="708" spans="1:8" ht="15.75">
      <c r="A708" s="2"/>
      <c r="B708" s="106"/>
      <c r="C708" s="2"/>
      <c r="D708" s="2"/>
      <c r="E708" s="4"/>
      <c r="F708" s="5"/>
      <c r="G708" s="6"/>
      <c r="H708" s="2"/>
    </row>
    <row r="709" spans="1:8" ht="15.75">
      <c r="A709" s="2"/>
      <c r="B709" s="106"/>
      <c r="C709" s="2"/>
      <c r="D709" s="2"/>
      <c r="E709" s="4"/>
      <c r="F709" s="5"/>
      <c r="G709" s="6"/>
      <c r="H709" s="2"/>
    </row>
    <row r="710" spans="1:8" ht="15.75">
      <c r="A710" s="2"/>
      <c r="B710" s="106"/>
      <c r="C710" s="2"/>
      <c r="D710" s="2"/>
      <c r="E710" s="4"/>
      <c r="F710" s="5"/>
      <c r="G710" s="6"/>
      <c r="H710" s="2"/>
    </row>
    <row r="711" spans="1:8" ht="15.75">
      <c r="A711" s="2"/>
      <c r="B711" s="106"/>
      <c r="C711" s="2"/>
      <c r="D711" s="2"/>
      <c r="E711" s="4"/>
      <c r="F711" s="5"/>
      <c r="G711" s="6"/>
      <c r="H711" s="2"/>
    </row>
    <row r="712" spans="1:8" ht="15.75">
      <c r="A712" s="2"/>
      <c r="B712" s="106"/>
      <c r="C712" s="2"/>
      <c r="D712" s="2"/>
      <c r="E712" s="4"/>
      <c r="F712" s="5"/>
      <c r="G712" s="6"/>
      <c r="H712" s="2"/>
    </row>
    <row r="713" spans="1:8" ht="15.75">
      <c r="A713" s="2"/>
      <c r="B713" s="106"/>
      <c r="C713" s="2"/>
      <c r="D713" s="2"/>
      <c r="E713" s="4"/>
      <c r="F713" s="5"/>
      <c r="G713" s="6"/>
      <c r="H713" s="2"/>
    </row>
    <row r="714" spans="1:8" ht="15.75">
      <c r="A714" s="2"/>
      <c r="B714" s="106"/>
      <c r="C714" s="2"/>
      <c r="D714" s="2"/>
      <c r="E714" s="4"/>
      <c r="F714" s="5"/>
      <c r="G714" s="6"/>
      <c r="H714" s="2"/>
    </row>
    <row r="715" spans="1:8" ht="15.75">
      <c r="A715" s="2"/>
      <c r="B715" s="106"/>
      <c r="C715" s="2"/>
      <c r="D715" s="2"/>
      <c r="E715" s="4"/>
      <c r="F715" s="5"/>
      <c r="G715" s="6"/>
      <c r="H715" s="2"/>
    </row>
    <row r="716" spans="1:8" ht="15.75">
      <c r="A716" s="2"/>
      <c r="B716" s="106"/>
      <c r="C716" s="2"/>
      <c r="D716" s="2"/>
      <c r="E716" s="4"/>
      <c r="F716" s="5"/>
      <c r="G716" s="6"/>
      <c r="H716" s="2"/>
    </row>
    <row r="717" spans="1:8" ht="15.75">
      <c r="A717" s="2"/>
      <c r="B717" s="106"/>
      <c r="C717" s="2"/>
      <c r="D717" s="2"/>
      <c r="E717" s="4"/>
      <c r="F717" s="5"/>
      <c r="G717" s="6"/>
      <c r="H717" s="2"/>
    </row>
    <row r="718" spans="1:8" ht="15.75">
      <c r="A718" s="2"/>
      <c r="B718" s="106"/>
      <c r="C718" s="2"/>
      <c r="D718" s="2"/>
      <c r="E718" s="4"/>
      <c r="F718" s="5"/>
      <c r="G718" s="6"/>
      <c r="H718" s="2"/>
    </row>
    <row r="719" spans="1:8" ht="15.75">
      <c r="A719" s="2"/>
      <c r="B719" s="106"/>
      <c r="C719" s="2"/>
      <c r="D719" s="2"/>
      <c r="E719" s="4"/>
      <c r="F719" s="5"/>
      <c r="G719" s="6"/>
      <c r="H719" s="2"/>
    </row>
    <row r="720" spans="1:8" ht="15.75">
      <c r="A720" s="2"/>
      <c r="B720" s="106"/>
      <c r="C720" s="2"/>
      <c r="D720" s="2"/>
      <c r="E720" s="4"/>
      <c r="F720" s="5"/>
      <c r="G720" s="6"/>
      <c r="H720" s="2"/>
    </row>
    <row r="721" spans="1:8" ht="15.75">
      <c r="A721" s="2"/>
      <c r="B721" s="106"/>
      <c r="C721" s="2"/>
      <c r="D721" s="2"/>
      <c r="E721" s="4"/>
      <c r="F721" s="5"/>
      <c r="G721" s="6"/>
      <c r="H721" s="2"/>
    </row>
    <row r="722" spans="1:8" ht="15.75">
      <c r="A722" s="2"/>
      <c r="B722" s="106"/>
      <c r="C722" s="2"/>
      <c r="D722" s="2"/>
      <c r="E722" s="4"/>
      <c r="F722" s="5"/>
      <c r="G722" s="6"/>
      <c r="H722" s="2"/>
    </row>
    <row r="723" spans="1:8" ht="15.75">
      <c r="A723" s="2"/>
      <c r="B723" s="106"/>
      <c r="C723" s="2"/>
      <c r="D723" s="2"/>
      <c r="E723" s="4"/>
      <c r="F723" s="5"/>
      <c r="G723" s="6"/>
      <c r="H723" s="2"/>
    </row>
    <row r="724" spans="1:8" ht="15.75">
      <c r="A724" s="2"/>
      <c r="B724" s="106"/>
      <c r="C724" s="2"/>
      <c r="D724" s="2"/>
      <c r="E724" s="4"/>
      <c r="F724" s="5"/>
      <c r="G724" s="6"/>
      <c r="H724" s="2"/>
    </row>
    <row r="725" spans="1:8" ht="15.75">
      <c r="A725" s="2"/>
      <c r="B725" s="106"/>
      <c r="C725" s="2"/>
      <c r="D725" s="2"/>
      <c r="E725" s="4"/>
      <c r="F725" s="5"/>
      <c r="G725" s="6"/>
      <c r="H725" s="2"/>
    </row>
    <row r="726" spans="1:8" ht="15.75">
      <c r="A726" s="2"/>
      <c r="B726" s="106"/>
      <c r="C726" s="2"/>
      <c r="D726" s="2"/>
      <c r="E726" s="4"/>
      <c r="F726" s="5"/>
      <c r="G726" s="6"/>
      <c r="H726" s="2"/>
    </row>
    <row r="727" spans="1:8" ht="15.75">
      <c r="A727" s="2"/>
      <c r="B727" s="106"/>
      <c r="C727" s="2"/>
      <c r="D727" s="2"/>
      <c r="E727" s="4"/>
      <c r="F727" s="5"/>
      <c r="G727" s="6"/>
      <c r="H727" s="2"/>
    </row>
    <row r="728" spans="1:8" ht="15.75">
      <c r="A728" s="2"/>
      <c r="B728" s="106"/>
      <c r="C728" s="2"/>
      <c r="D728" s="2"/>
      <c r="E728" s="4"/>
      <c r="F728" s="5"/>
      <c r="G728" s="6"/>
      <c r="H728" s="2"/>
    </row>
    <row r="729" spans="1:8" ht="15.75">
      <c r="A729" s="2"/>
      <c r="B729" s="106"/>
      <c r="C729" s="2"/>
      <c r="D729" s="2"/>
      <c r="E729" s="4"/>
      <c r="F729" s="5"/>
      <c r="G729" s="6"/>
      <c r="H729" s="2"/>
    </row>
    <row r="730" spans="1:8" ht="15.75">
      <c r="A730" s="2"/>
      <c r="B730" s="106"/>
      <c r="C730" s="2"/>
      <c r="D730" s="2"/>
      <c r="E730" s="4"/>
      <c r="F730" s="5"/>
      <c r="G730" s="6"/>
      <c r="H730" s="2"/>
    </row>
    <row r="731" spans="1:8" ht="15.75">
      <c r="A731" s="2"/>
      <c r="B731" s="106"/>
      <c r="C731" s="2"/>
      <c r="D731" s="2"/>
      <c r="E731" s="4"/>
      <c r="F731" s="5"/>
      <c r="G731" s="6"/>
      <c r="H731" s="2"/>
    </row>
    <row r="732" spans="1:8" ht="15.75">
      <c r="A732" s="2"/>
      <c r="B732" s="106"/>
      <c r="C732" s="2"/>
      <c r="D732" s="2"/>
      <c r="E732" s="4"/>
      <c r="F732" s="5"/>
      <c r="G732" s="6"/>
      <c r="H732" s="2"/>
    </row>
    <row r="733" spans="1:8" ht="15.75">
      <c r="A733" s="2"/>
      <c r="B733" s="106"/>
      <c r="C733" s="2"/>
      <c r="D733" s="2"/>
      <c r="E733" s="4"/>
      <c r="F733" s="5"/>
      <c r="G733" s="6"/>
      <c r="H733" s="2"/>
    </row>
    <row r="734" spans="1:8" ht="15.75">
      <c r="A734" s="2"/>
      <c r="B734" s="106"/>
      <c r="C734" s="2"/>
      <c r="D734" s="2"/>
      <c r="E734" s="4"/>
      <c r="F734" s="5"/>
      <c r="G734" s="6"/>
      <c r="H734" s="2"/>
    </row>
    <row r="735" spans="1:8" ht="15.75">
      <c r="A735" s="2"/>
      <c r="B735" s="106"/>
      <c r="C735" s="2"/>
      <c r="D735" s="2"/>
      <c r="E735" s="4"/>
      <c r="F735" s="5"/>
      <c r="G735" s="6"/>
      <c r="H735" s="2"/>
    </row>
    <row r="736" spans="1:8" ht="15.75">
      <c r="A736" s="2"/>
      <c r="B736" s="106"/>
      <c r="C736" s="2"/>
      <c r="D736" s="2"/>
      <c r="E736" s="4"/>
      <c r="F736" s="5"/>
      <c r="G736" s="6"/>
      <c r="H736" s="2"/>
    </row>
    <row r="737" spans="1:8" ht="15.75">
      <c r="A737" s="2"/>
      <c r="B737" s="106"/>
      <c r="C737" s="2"/>
      <c r="D737" s="2"/>
      <c r="E737" s="4"/>
      <c r="F737" s="5"/>
      <c r="G737" s="6"/>
      <c r="H737" s="2"/>
    </row>
    <row r="738" spans="1:8" ht="15.75">
      <c r="A738" s="2"/>
      <c r="B738" s="106"/>
      <c r="C738" s="2"/>
      <c r="D738" s="2"/>
      <c r="E738" s="4"/>
      <c r="F738" s="5"/>
      <c r="G738" s="6"/>
      <c r="H738" s="2"/>
    </row>
    <row r="739" spans="1:8" ht="15.75">
      <c r="A739" s="2"/>
      <c r="B739" s="106"/>
      <c r="C739" s="2"/>
      <c r="D739" s="2"/>
      <c r="E739" s="4"/>
      <c r="F739" s="5"/>
      <c r="G739" s="6"/>
      <c r="H739" s="2"/>
    </row>
    <row r="740" spans="1:8" ht="15.75">
      <c r="A740" s="2"/>
      <c r="B740" s="106"/>
      <c r="C740" s="2"/>
      <c r="D740" s="2"/>
      <c r="E740" s="4"/>
      <c r="F740" s="5"/>
      <c r="G740" s="6"/>
      <c r="H740" s="2"/>
    </row>
    <row r="741" spans="1:8" ht="15.75">
      <c r="A741" s="2"/>
      <c r="B741" s="106"/>
      <c r="C741" s="2"/>
      <c r="D741" s="2"/>
      <c r="E741" s="4"/>
      <c r="F741" s="5"/>
      <c r="G741" s="6"/>
      <c r="H741" s="2"/>
    </row>
    <row r="742" spans="1:8" ht="15.75">
      <c r="A742" s="2"/>
      <c r="B742" s="106"/>
      <c r="C742" s="2"/>
      <c r="D742" s="2"/>
      <c r="E742" s="4"/>
      <c r="F742" s="5"/>
      <c r="G742" s="6"/>
      <c r="H742" s="2"/>
    </row>
    <row r="743" spans="1:8" ht="15.75">
      <c r="A743" s="2"/>
      <c r="B743" s="106"/>
      <c r="C743" s="2"/>
      <c r="D743" s="2"/>
      <c r="E743" s="4"/>
      <c r="F743" s="5"/>
      <c r="G743" s="6"/>
      <c r="H743" s="2"/>
    </row>
    <row r="744" spans="1:8" ht="15.75">
      <c r="A744" s="2"/>
      <c r="B744" s="106"/>
      <c r="C744" s="2"/>
      <c r="D744" s="2"/>
      <c r="E744" s="4"/>
      <c r="F744" s="5"/>
      <c r="G744" s="6"/>
      <c r="H744" s="2"/>
    </row>
    <row r="745" spans="1:8" ht="15.75">
      <c r="A745" s="2"/>
      <c r="B745" s="106"/>
      <c r="C745" s="2"/>
      <c r="D745" s="2"/>
      <c r="E745" s="4"/>
      <c r="F745" s="5"/>
      <c r="G745" s="6"/>
      <c r="H745" s="2"/>
    </row>
    <row r="746" spans="1:8" ht="15.75">
      <c r="A746" s="2"/>
      <c r="B746" s="106"/>
      <c r="C746" s="2"/>
      <c r="D746" s="2"/>
      <c r="E746" s="4"/>
      <c r="F746" s="5"/>
      <c r="G746" s="6"/>
      <c r="H746" s="2"/>
    </row>
    <row r="747" spans="1:8" ht="15.75">
      <c r="A747" s="2"/>
      <c r="B747" s="106"/>
      <c r="C747" s="2"/>
      <c r="D747" s="2"/>
      <c r="E747" s="4"/>
      <c r="F747" s="5"/>
      <c r="G747" s="6"/>
      <c r="H747" s="2"/>
    </row>
    <row r="748" spans="1:8" ht="15.75">
      <c r="A748" s="2"/>
      <c r="B748" s="106"/>
      <c r="C748" s="2"/>
      <c r="D748" s="2"/>
      <c r="E748" s="4"/>
      <c r="F748" s="5"/>
      <c r="G748" s="6"/>
      <c r="H748" s="2"/>
    </row>
    <row r="749" spans="1:8" ht="15.75">
      <c r="A749" s="2"/>
      <c r="B749" s="106"/>
      <c r="C749" s="2"/>
      <c r="D749" s="2"/>
      <c r="E749" s="4"/>
      <c r="F749" s="5"/>
      <c r="G749" s="6"/>
      <c r="H749" s="2"/>
    </row>
    <row r="750" spans="1:8" ht="15.75">
      <c r="A750" s="2"/>
      <c r="B750" s="106"/>
      <c r="C750" s="2"/>
      <c r="D750" s="2"/>
      <c r="E750" s="4"/>
      <c r="F750" s="5"/>
      <c r="G750" s="6"/>
      <c r="H750" s="2"/>
    </row>
    <row r="751" spans="1:8" ht="15.75">
      <c r="A751" s="2"/>
      <c r="B751" s="106"/>
      <c r="C751" s="2"/>
      <c r="D751" s="2"/>
      <c r="E751" s="4"/>
      <c r="F751" s="5"/>
      <c r="G751" s="6"/>
      <c r="H751" s="2"/>
    </row>
    <row r="752" spans="1:8" ht="15.75">
      <c r="A752" s="2"/>
      <c r="B752" s="106"/>
      <c r="C752" s="2"/>
      <c r="D752" s="2"/>
      <c r="E752" s="4"/>
      <c r="F752" s="5"/>
      <c r="G752" s="6"/>
      <c r="H752" s="2"/>
    </row>
    <row r="753" spans="1:8" ht="15.75">
      <c r="A753" s="2"/>
      <c r="B753" s="106"/>
      <c r="C753" s="2"/>
      <c r="D753" s="2"/>
      <c r="E753" s="4"/>
      <c r="F753" s="5"/>
      <c r="G753" s="6"/>
      <c r="H753" s="2"/>
    </row>
    <row r="754" spans="1:8" ht="15.75">
      <c r="A754" s="2"/>
      <c r="B754" s="106"/>
      <c r="C754" s="2"/>
      <c r="D754" s="2"/>
      <c r="E754" s="4"/>
      <c r="F754" s="5"/>
      <c r="G754" s="6"/>
      <c r="H754" s="2"/>
    </row>
    <row r="755" spans="1:8" ht="15.75">
      <c r="A755" s="2"/>
      <c r="B755" s="106"/>
      <c r="C755" s="2"/>
      <c r="D755" s="2"/>
      <c r="E755" s="4"/>
      <c r="F755" s="5"/>
      <c r="G755" s="6"/>
      <c r="H755" s="2"/>
    </row>
    <row r="756" spans="1:8" ht="15.75">
      <c r="A756" s="2"/>
      <c r="B756" s="106"/>
      <c r="C756" s="2"/>
      <c r="D756" s="2"/>
      <c r="E756" s="4"/>
      <c r="F756" s="5"/>
      <c r="G756" s="6"/>
      <c r="H756" s="2"/>
    </row>
    <row r="757" spans="1:8" ht="15.75">
      <c r="A757" s="2"/>
      <c r="B757" s="106"/>
      <c r="C757" s="2"/>
      <c r="D757" s="2"/>
      <c r="E757" s="4"/>
      <c r="F757" s="5"/>
      <c r="G757" s="6"/>
      <c r="H757" s="2"/>
    </row>
    <row r="758" spans="1:8" ht="15.75">
      <c r="A758" s="2"/>
      <c r="B758" s="106"/>
      <c r="C758" s="2"/>
      <c r="D758" s="2"/>
      <c r="E758" s="4"/>
      <c r="F758" s="5"/>
      <c r="G758" s="6"/>
      <c r="H758" s="2"/>
    </row>
    <row r="759" spans="1:8" ht="15.75">
      <c r="A759" s="2"/>
      <c r="B759" s="106"/>
      <c r="C759" s="2"/>
      <c r="D759" s="2"/>
      <c r="E759" s="4"/>
      <c r="F759" s="5"/>
      <c r="G759" s="6"/>
      <c r="H759" s="2"/>
    </row>
    <row r="760" spans="1:8" ht="15.75">
      <c r="A760" s="2"/>
      <c r="B760" s="106"/>
      <c r="C760" s="2"/>
      <c r="D760" s="2"/>
      <c r="E760" s="4"/>
      <c r="F760" s="5"/>
      <c r="G760" s="6"/>
      <c r="H760" s="2"/>
    </row>
    <row r="761" spans="1:8" ht="15.75">
      <c r="A761" s="2"/>
      <c r="B761" s="106"/>
      <c r="C761" s="2"/>
      <c r="D761" s="2"/>
      <c r="E761" s="4"/>
      <c r="F761" s="5"/>
      <c r="G761" s="6"/>
      <c r="H761" s="2"/>
    </row>
    <row r="762" spans="1:8" ht="15.75">
      <c r="A762" s="2"/>
      <c r="B762" s="106"/>
      <c r="C762" s="2"/>
      <c r="D762" s="2"/>
      <c r="E762" s="4"/>
      <c r="F762" s="5"/>
      <c r="G762" s="6"/>
      <c r="H762" s="2"/>
    </row>
    <row r="763" spans="1:8" ht="15.75">
      <c r="A763" s="2"/>
      <c r="B763" s="106"/>
      <c r="C763" s="2"/>
      <c r="D763" s="2"/>
      <c r="E763" s="4"/>
      <c r="F763" s="5"/>
      <c r="G763" s="6"/>
      <c r="H763" s="2"/>
    </row>
    <row r="764" spans="1:8" ht="15.75">
      <c r="A764" s="2"/>
      <c r="B764" s="106"/>
      <c r="C764" s="2"/>
      <c r="D764" s="2"/>
      <c r="E764" s="4"/>
      <c r="F764" s="5"/>
      <c r="G764" s="6"/>
      <c r="H764" s="2"/>
    </row>
    <row r="765" spans="1:8" ht="15.75">
      <c r="A765" s="2"/>
      <c r="B765" s="106"/>
      <c r="C765" s="2"/>
      <c r="D765" s="2"/>
      <c r="E765" s="4"/>
      <c r="F765" s="5"/>
      <c r="G765" s="6"/>
      <c r="H765" s="2"/>
    </row>
    <row r="766" spans="1:8" ht="15.75">
      <c r="A766" s="2"/>
      <c r="B766" s="106"/>
      <c r="C766" s="2"/>
      <c r="D766" s="2"/>
      <c r="E766" s="4"/>
      <c r="F766" s="5"/>
      <c r="G766" s="6"/>
      <c r="H766" s="2"/>
    </row>
    <row r="767" spans="1:8" ht="15.75">
      <c r="A767" s="2"/>
      <c r="B767" s="106"/>
      <c r="C767" s="2"/>
      <c r="D767" s="2"/>
      <c r="E767" s="4"/>
      <c r="F767" s="5"/>
      <c r="G767" s="6"/>
      <c r="H767" s="2"/>
    </row>
    <row r="768" spans="1:8" ht="15.75">
      <c r="A768" s="2"/>
      <c r="B768" s="106"/>
      <c r="C768" s="2"/>
      <c r="D768" s="2"/>
      <c r="E768" s="4"/>
      <c r="F768" s="5"/>
      <c r="G768" s="6"/>
      <c r="H768" s="2"/>
    </row>
    <row r="769" spans="1:8" ht="15.75">
      <c r="A769" s="2"/>
      <c r="B769" s="106"/>
      <c r="C769" s="2"/>
      <c r="D769" s="2"/>
      <c r="E769" s="4"/>
      <c r="F769" s="5"/>
      <c r="G769" s="6"/>
      <c r="H769" s="2"/>
    </row>
    <row r="770" spans="1:8" ht="15.75">
      <c r="A770" s="2"/>
      <c r="B770" s="106"/>
      <c r="C770" s="2"/>
      <c r="D770" s="2"/>
      <c r="E770" s="4"/>
      <c r="F770" s="5"/>
      <c r="G770" s="6"/>
      <c r="H770" s="2"/>
    </row>
    <row r="771" spans="1:8" ht="15.75">
      <c r="A771" s="2"/>
      <c r="B771" s="106"/>
      <c r="C771" s="2"/>
      <c r="D771" s="2"/>
      <c r="E771" s="4"/>
      <c r="F771" s="5"/>
      <c r="G771" s="6"/>
      <c r="H771" s="2"/>
    </row>
    <row r="772" spans="1:8" ht="15.75">
      <c r="A772" s="2"/>
      <c r="B772" s="106"/>
      <c r="C772" s="2"/>
      <c r="D772" s="2"/>
      <c r="E772" s="4"/>
      <c r="F772" s="5"/>
      <c r="G772" s="6"/>
      <c r="H772" s="2"/>
    </row>
    <row r="773" spans="1:8" ht="15.75">
      <c r="A773" s="2"/>
      <c r="B773" s="106"/>
      <c r="C773" s="2"/>
      <c r="D773" s="2"/>
      <c r="E773" s="4"/>
      <c r="F773" s="5"/>
      <c r="G773" s="6"/>
      <c r="H773" s="2"/>
    </row>
    <row r="774" spans="1:8" ht="15.75">
      <c r="A774" s="2"/>
      <c r="B774" s="106"/>
      <c r="C774" s="2"/>
      <c r="D774" s="2"/>
      <c r="E774" s="4"/>
      <c r="F774" s="5"/>
      <c r="G774" s="6"/>
      <c r="H774" s="2"/>
    </row>
    <row r="775" spans="1:8" ht="15.75">
      <c r="A775" s="2"/>
      <c r="B775" s="106"/>
      <c r="C775" s="2"/>
      <c r="D775" s="2"/>
      <c r="E775" s="4"/>
      <c r="F775" s="5"/>
      <c r="G775" s="6"/>
      <c r="H775" s="2"/>
    </row>
    <row r="776" spans="1:8" ht="15.75">
      <c r="A776" s="2"/>
      <c r="B776" s="106"/>
      <c r="C776" s="2"/>
      <c r="D776" s="2"/>
      <c r="E776" s="4"/>
      <c r="F776" s="5"/>
      <c r="G776" s="6"/>
      <c r="H776" s="2"/>
    </row>
    <row r="777" spans="1:8" ht="15.75">
      <c r="A777" s="2"/>
      <c r="B777" s="106"/>
      <c r="C777" s="2"/>
      <c r="D777" s="2"/>
      <c r="E777" s="4"/>
      <c r="F777" s="5"/>
      <c r="G777" s="6"/>
      <c r="H777" s="2"/>
    </row>
    <row r="778" spans="1:8" ht="15.75">
      <c r="A778" s="2"/>
      <c r="B778" s="106"/>
      <c r="C778" s="2"/>
      <c r="D778" s="2"/>
      <c r="E778" s="4"/>
      <c r="F778" s="5"/>
      <c r="G778" s="6"/>
      <c r="H778" s="2"/>
    </row>
    <row r="779" spans="1:8" ht="15.75">
      <c r="A779" s="2"/>
      <c r="B779" s="106"/>
      <c r="C779" s="2"/>
      <c r="D779" s="2"/>
      <c r="E779" s="4"/>
      <c r="F779" s="5"/>
      <c r="G779" s="6"/>
      <c r="H779" s="2"/>
    </row>
    <row r="780" spans="1:8" ht="15.75">
      <c r="A780" s="2"/>
      <c r="B780" s="106"/>
      <c r="C780" s="2"/>
      <c r="D780" s="2"/>
      <c r="E780" s="4"/>
      <c r="F780" s="5"/>
      <c r="G780" s="6"/>
      <c r="H780" s="2"/>
    </row>
    <row r="781" spans="1:8" ht="15.75">
      <c r="A781" s="2"/>
      <c r="B781" s="106"/>
      <c r="C781" s="2"/>
      <c r="D781" s="2"/>
      <c r="E781" s="4"/>
      <c r="F781" s="5"/>
      <c r="G781" s="6"/>
      <c r="H781" s="2"/>
    </row>
    <row r="782" spans="1:8" ht="15.75">
      <c r="A782" s="2"/>
      <c r="B782" s="106"/>
      <c r="C782" s="2"/>
      <c r="D782" s="2"/>
      <c r="E782" s="4"/>
      <c r="F782" s="5"/>
      <c r="G782" s="6"/>
      <c r="H782" s="2"/>
    </row>
    <row r="783" spans="1:8" ht="15.75">
      <c r="A783" s="2"/>
      <c r="B783" s="106"/>
      <c r="C783" s="2"/>
      <c r="D783" s="2"/>
      <c r="E783" s="4"/>
      <c r="F783" s="5"/>
      <c r="G783" s="6"/>
      <c r="H783" s="2"/>
    </row>
    <row r="784" spans="1:8" ht="15.75">
      <c r="A784" s="2"/>
      <c r="B784" s="106"/>
      <c r="C784" s="2"/>
      <c r="D784" s="2"/>
      <c r="E784" s="4"/>
      <c r="F784" s="5"/>
      <c r="G784" s="6"/>
      <c r="H784" s="2"/>
    </row>
    <row r="785" spans="1:8" ht="15.75">
      <c r="A785" s="2"/>
      <c r="B785" s="106"/>
      <c r="C785" s="2"/>
      <c r="D785" s="2"/>
      <c r="E785" s="4"/>
      <c r="F785" s="5"/>
      <c r="G785" s="6"/>
      <c r="H785" s="2"/>
    </row>
    <row r="786" spans="1:8" ht="15.75">
      <c r="A786" s="2"/>
      <c r="B786" s="106"/>
      <c r="C786" s="2"/>
      <c r="D786" s="2"/>
      <c r="E786" s="4"/>
      <c r="F786" s="5"/>
      <c r="G786" s="6"/>
      <c r="H786" s="2"/>
    </row>
    <row r="787" spans="1:8" ht="15.75">
      <c r="A787" s="2"/>
      <c r="B787" s="106"/>
      <c r="C787" s="2"/>
      <c r="D787" s="2"/>
      <c r="E787" s="4"/>
      <c r="F787" s="5"/>
      <c r="G787" s="6"/>
      <c r="H787" s="2"/>
    </row>
    <row r="788" spans="1:8" ht="15.75">
      <c r="A788" s="2"/>
      <c r="B788" s="106"/>
      <c r="C788" s="2"/>
      <c r="D788" s="2"/>
      <c r="E788" s="4"/>
      <c r="F788" s="5"/>
      <c r="G788" s="6"/>
      <c r="H788" s="2"/>
    </row>
    <row r="789" spans="1:8" ht="15.75">
      <c r="A789" s="2"/>
      <c r="B789" s="106"/>
      <c r="C789" s="2"/>
      <c r="D789" s="2"/>
      <c r="E789" s="4"/>
      <c r="F789" s="5"/>
      <c r="G789" s="6"/>
      <c r="H789" s="2"/>
    </row>
    <row r="790" spans="1:8" ht="15.75">
      <c r="A790" s="2"/>
      <c r="B790" s="106"/>
      <c r="C790" s="2"/>
      <c r="D790" s="2"/>
      <c r="E790" s="4"/>
      <c r="F790" s="5"/>
      <c r="G790" s="6"/>
      <c r="H790" s="2"/>
    </row>
    <row r="791" spans="1:8" ht="15.75">
      <c r="A791" s="2"/>
      <c r="B791" s="106"/>
      <c r="C791" s="2"/>
      <c r="D791" s="2"/>
      <c r="E791" s="4"/>
      <c r="F791" s="5"/>
      <c r="G791" s="6"/>
      <c r="H791" s="2"/>
    </row>
    <row r="792" spans="1:8" ht="15.75">
      <c r="A792" s="2"/>
      <c r="B792" s="106"/>
      <c r="C792" s="2"/>
      <c r="D792" s="2"/>
      <c r="E792" s="4"/>
      <c r="F792" s="5"/>
      <c r="G792" s="6"/>
      <c r="H792" s="2"/>
    </row>
    <row r="793" spans="1:8" ht="15.75">
      <c r="A793" s="2"/>
      <c r="B793" s="106"/>
      <c r="C793" s="2"/>
      <c r="D793" s="2"/>
      <c r="E793" s="4"/>
      <c r="F793" s="5"/>
      <c r="G793" s="6"/>
      <c r="H793" s="2"/>
    </row>
    <row r="794" spans="1:8" ht="15.75">
      <c r="A794" s="2"/>
      <c r="B794" s="106"/>
      <c r="C794" s="2"/>
      <c r="D794" s="2"/>
      <c r="E794" s="4"/>
      <c r="F794" s="5"/>
      <c r="G794" s="6"/>
      <c r="H794" s="2"/>
    </row>
    <row r="795" spans="1:8" ht="15.75">
      <c r="A795" s="2"/>
      <c r="B795" s="106"/>
      <c r="C795" s="2"/>
      <c r="D795" s="2"/>
      <c r="E795" s="4"/>
      <c r="F795" s="5"/>
      <c r="G795" s="6"/>
      <c r="H795" s="2"/>
    </row>
    <row r="796" spans="1:8" ht="15.75">
      <c r="A796" s="2"/>
      <c r="B796" s="106"/>
      <c r="C796" s="2"/>
      <c r="D796" s="2"/>
      <c r="E796" s="4"/>
      <c r="F796" s="5"/>
      <c r="G796" s="6"/>
      <c r="H796" s="2"/>
    </row>
    <row r="797" spans="1:8" ht="15.75">
      <c r="A797" s="2"/>
      <c r="B797" s="106"/>
      <c r="C797" s="2"/>
      <c r="D797" s="2"/>
      <c r="E797" s="4"/>
      <c r="F797" s="5"/>
      <c r="G797" s="6"/>
      <c r="H797" s="2"/>
    </row>
    <row r="798" spans="1:8" ht="15.75">
      <c r="A798" s="2"/>
      <c r="B798" s="106"/>
      <c r="C798" s="2"/>
      <c r="D798" s="2"/>
      <c r="E798" s="4"/>
      <c r="F798" s="5"/>
      <c r="G798" s="6"/>
      <c r="H798" s="2"/>
    </row>
    <row r="799" spans="1:8" ht="15.75">
      <c r="A799" s="2"/>
      <c r="B799" s="106"/>
      <c r="C799" s="2"/>
      <c r="D799" s="2"/>
      <c r="E799" s="4"/>
      <c r="F799" s="5"/>
      <c r="G799" s="6"/>
      <c r="H799" s="2"/>
    </row>
    <row r="800" spans="1:8" ht="15.75">
      <c r="A800" s="2"/>
      <c r="B800" s="106"/>
      <c r="C800" s="2"/>
      <c r="D800" s="2"/>
      <c r="E800" s="4"/>
      <c r="F800" s="5"/>
      <c r="G800" s="6"/>
      <c r="H800" s="2"/>
    </row>
    <row r="801" spans="1:8" ht="15.75">
      <c r="A801" s="2"/>
      <c r="B801" s="106"/>
      <c r="C801" s="2"/>
      <c r="D801" s="2"/>
      <c r="E801" s="4"/>
      <c r="F801" s="5"/>
      <c r="G801" s="6"/>
      <c r="H801" s="2"/>
    </row>
    <row r="802" spans="1:8" ht="15.75">
      <c r="A802" s="2"/>
      <c r="B802" s="106"/>
      <c r="C802" s="2"/>
      <c r="D802" s="2"/>
      <c r="E802" s="4"/>
      <c r="F802" s="5"/>
      <c r="G802" s="6"/>
      <c r="H802" s="2"/>
    </row>
    <row r="803" spans="1:8" ht="15.75">
      <c r="A803" s="2"/>
      <c r="B803" s="106"/>
      <c r="C803" s="2"/>
      <c r="D803" s="2"/>
      <c r="E803" s="4"/>
      <c r="F803" s="5"/>
      <c r="G803" s="6"/>
      <c r="H803" s="2"/>
    </row>
    <row r="804" spans="1:8" ht="15.75">
      <c r="A804" s="2"/>
      <c r="B804" s="106"/>
      <c r="C804" s="2"/>
      <c r="D804" s="2"/>
      <c r="E804" s="4"/>
      <c r="F804" s="5"/>
      <c r="G804" s="6"/>
      <c r="H804" s="2"/>
    </row>
    <row r="805" spans="1:8" ht="15.75">
      <c r="A805" s="2"/>
      <c r="B805" s="106"/>
      <c r="C805" s="2"/>
      <c r="D805" s="2"/>
      <c r="E805" s="4"/>
      <c r="F805" s="5"/>
      <c r="G805" s="6"/>
      <c r="H805" s="2"/>
    </row>
    <row r="806" spans="1:8" ht="15.75">
      <c r="A806" s="2"/>
      <c r="B806" s="106"/>
      <c r="C806" s="2"/>
      <c r="D806" s="2"/>
      <c r="E806" s="4"/>
      <c r="F806" s="5"/>
      <c r="G806" s="6"/>
      <c r="H806" s="2"/>
    </row>
    <row r="807" spans="1:8" ht="15.75">
      <c r="A807" s="2"/>
      <c r="B807" s="106"/>
      <c r="C807" s="2"/>
      <c r="D807" s="2"/>
      <c r="E807" s="4"/>
      <c r="F807" s="5"/>
      <c r="G807" s="6"/>
      <c r="H807" s="2"/>
    </row>
    <row r="808" spans="1:8" ht="15.75">
      <c r="A808" s="2"/>
      <c r="B808" s="106"/>
      <c r="C808" s="2"/>
      <c r="D808" s="2"/>
      <c r="E808" s="4"/>
      <c r="F808" s="5"/>
      <c r="G808" s="6"/>
      <c r="H808" s="2"/>
    </row>
    <row r="809" spans="1:8" ht="15.75">
      <c r="A809" s="2"/>
      <c r="B809" s="106"/>
      <c r="C809" s="2"/>
      <c r="D809" s="2"/>
      <c r="E809" s="4"/>
      <c r="F809" s="5"/>
      <c r="G809" s="6"/>
      <c r="H809" s="2"/>
    </row>
    <row r="810" spans="1:8" ht="15.75">
      <c r="A810" s="2"/>
      <c r="B810" s="106"/>
      <c r="C810" s="2"/>
      <c r="D810" s="2"/>
      <c r="E810" s="4"/>
      <c r="F810" s="5"/>
      <c r="G810" s="6"/>
      <c r="H810" s="2"/>
    </row>
    <row r="811" spans="1:8" ht="15.75">
      <c r="A811" s="2"/>
      <c r="B811" s="106"/>
      <c r="C811" s="2"/>
      <c r="D811" s="2"/>
      <c r="E811" s="4"/>
      <c r="F811" s="5"/>
      <c r="G811" s="6"/>
      <c r="H811" s="2"/>
    </row>
    <row r="812" spans="1:8" ht="15.75">
      <c r="A812" s="2"/>
      <c r="B812" s="106"/>
      <c r="C812" s="2"/>
      <c r="D812" s="2"/>
      <c r="E812" s="4"/>
      <c r="F812" s="5"/>
      <c r="G812" s="6"/>
      <c r="H812" s="2"/>
    </row>
    <row r="813" spans="1:8" ht="15.75">
      <c r="A813" s="2"/>
      <c r="B813" s="106"/>
      <c r="C813" s="2"/>
      <c r="D813" s="2"/>
      <c r="E813" s="4"/>
      <c r="F813" s="5"/>
      <c r="G813" s="6"/>
      <c r="H813" s="2"/>
    </row>
    <row r="814" spans="1:8" ht="15.75">
      <c r="A814" s="2"/>
      <c r="B814" s="106"/>
      <c r="C814" s="2"/>
      <c r="D814" s="2"/>
      <c r="E814" s="4"/>
      <c r="F814" s="5"/>
      <c r="G814" s="6"/>
      <c r="H814" s="2"/>
    </row>
    <row r="815" spans="1:8" ht="15.75">
      <c r="A815" s="2"/>
      <c r="B815" s="106"/>
      <c r="C815" s="2"/>
      <c r="D815" s="2"/>
      <c r="E815" s="4"/>
      <c r="F815" s="5"/>
      <c r="G815" s="6"/>
      <c r="H815" s="2"/>
    </row>
    <row r="816" spans="1:8" ht="15.75">
      <c r="A816" s="2"/>
      <c r="B816" s="106"/>
      <c r="C816" s="2"/>
      <c r="D816" s="2"/>
      <c r="E816" s="4"/>
      <c r="F816" s="5"/>
      <c r="G816" s="6"/>
      <c r="H816" s="2"/>
    </row>
    <row r="817" spans="1:8" ht="15.75">
      <c r="A817" s="2"/>
      <c r="B817" s="106"/>
      <c r="C817" s="2"/>
      <c r="D817" s="2"/>
      <c r="E817" s="4"/>
      <c r="F817" s="5"/>
      <c r="G817" s="6"/>
      <c r="H817" s="2"/>
    </row>
    <row r="818" spans="1:8" ht="15.75">
      <c r="A818" s="2"/>
      <c r="B818" s="106"/>
      <c r="C818" s="2"/>
      <c r="D818" s="2"/>
      <c r="E818" s="4"/>
      <c r="F818" s="5"/>
      <c r="G818" s="6"/>
      <c r="H818" s="2"/>
    </row>
    <row r="819" spans="1:8" ht="15.75">
      <c r="A819" s="2"/>
      <c r="B819" s="106"/>
      <c r="C819" s="2"/>
      <c r="D819" s="2"/>
      <c r="E819" s="4"/>
      <c r="F819" s="5"/>
      <c r="G819" s="6"/>
      <c r="H819" s="2"/>
    </row>
    <row r="820" spans="1:8" ht="15.75">
      <c r="A820" s="2"/>
      <c r="B820" s="106"/>
      <c r="C820" s="2"/>
      <c r="D820" s="2"/>
      <c r="E820" s="4"/>
      <c r="F820" s="5"/>
      <c r="G820" s="6"/>
      <c r="H820" s="2"/>
    </row>
    <row r="821" spans="1:8" ht="15.75">
      <c r="A821" s="2"/>
      <c r="B821" s="106"/>
      <c r="C821" s="2"/>
      <c r="D821" s="2"/>
      <c r="E821" s="4"/>
      <c r="F821" s="5"/>
      <c r="G821" s="6"/>
      <c r="H821" s="2"/>
    </row>
    <row r="822" spans="1:8" ht="15.75">
      <c r="A822" s="2"/>
      <c r="B822" s="106"/>
      <c r="C822" s="2"/>
      <c r="D822" s="2"/>
      <c r="E822" s="4"/>
      <c r="F822" s="5"/>
      <c r="G822" s="6"/>
      <c r="H822" s="2"/>
    </row>
    <row r="823" spans="1:8" ht="15.75">
      <c r="A823" s="2"/>
      <c r="B823" s="106"/>
      <c r="C823" s="2"/>
      <c r="D823" s="2"/>
      <c r="E823" s="4"/>
      <c r="F823" s="5"/>
      <c r="G823" s="6"/>
      <c r="H823" s="2"/>
    </row>
    <row r="824" spans="1:8" ht="15.75">
      <c r="A824" s="2"/>
      <c r="B824" s="106"/>
      <c r="C824" s="2"/>
      <c r="D824" s="2"/>
      <c r="E824" s="4"/>
      <c r="F824" s="5"/>
      <c r="G824" s="6"/>
      <c r="H824" s="2"/>
    </row>
    <row r="825" spans="1:8" ht="15.75">
      <c r="A825" s="2"/>
      <c r="B825" s="106"/>
      <c r="C825" s="2"/>
      <c r="D825" s="2"/>
      <c r="E825" s="4"/>
      <c r="F825" s="5"/>
      <c r="G825" s="6"/>
      <c r="H825" s="2"/>
    </row>
    <row r="826" spans="1:8" ht="15.75">
      <c r="A826" s="2"/>
      <c r="B826" s="106"/>
      <c r="C826" s="2"/>
      <c r="D826" s="2"/>
      <c r="E826" s="4"/>
      <c r="F826" s="5"/>
      <c r="G826" s="6"/>
      <c r="H826" s="2"/>
    </row>
    <row r="827" spans="1:8" ht="15.75">
      <c r="A827" s="2"/>
      <c r="B827" s="106"/>
      <c r="C827" s="2"/>
      <c r="D827" s="2"/>
      <c r="E827" s="4"/>
      <c r="F827" s="5"/>
      <c r="G827" s="6"/>
      <c r="H827" s="2"/>
    </row>
    <row r="828" spans="1:8" ht="15.75">
      <c r="A828" s="2"/>
      <c r="B828" s="106"/>
      <c r="C828" s="2"/>
      <c r="D828" s="2"/>
      <c r="E828" s="4"/>
      <c r="F828" s="5"/>
      <c r="G828" s="6"/>
      <c r="H828" s="2"/>
    </row>
    <row r="829" spans="1:8" ht="15.75">
      <c r="A829" s="2"/>
      <c r="B829" s="106"/>
      <c r="C829" s="2"/>
      <c r="D829" s="2"/>
      <c r="E829" s="4"/>
      <c r="F829" s="5"/>
      <c r="G829" s="6"/>
      <c r="H829" s="2"/>
    </row>
    <row r="830" spans="1:8" ht="15.75">
      <c r="A830" s="2"/>
      <c r="B830" s="106"/>
      <c r="C830" s="2"/>
      <c r="D830" s="2"/>
      <c r="E830" s="4"/>
      <c r="F830" s="5"/>
      <c r="G830" s="6"/>
      <c r="H830" s="2"/>
    </row>
    <row r="831" spans="1:8" ht="15.75">
      <c r="A831" s="2"/>
      <c r="B831" s="106"/>
      <c r="C831" s="2"/>
      <c r="D831" s="2"/>
      <c r="E831" s="4"/>
      <c r="F831" s="5"/>
      <c r="G831" s="6"/>
      <c r="H831" s="2"/>
    </row>
    <row r="832" spans="1:8" ht="15.75">
      <c r="A832" s="2"/>
      <c r="B832" s="106"/>
      <c r="C832" s="2"/>
      <c r="D832" s="2"/>
      <c r="E832" s="4"/>
      <c r="F832" s="5"/>
      <c r="G832" s="6"/>
      <c r="H832" s="2"/>
    </row>
    <row r="833" spans="1:8" ht="15.75">
      <c r="A833" s="2"/>
      <c r="B833" s="106"/>
      <c r="C833" s="2"/>
      <c r="D833" s="2"/>
      <c r="E833" s="4"/>
      <c r="F833" s="5"/>
      <c r="G833" s="6"/>
      <c r="H833" s="2"/>
    </row>
    <row r="834" spans="1:8" ht="15.75">
      <c r="A834" s="2"/>
      <c r="B834" s="106"/>
      <c r="C834" s="2"/>
      <c r="D834" s="2"/>
      <c r="E834" s="4"/>
      <c r="F834" s="5"/>
      <c r="G834" s="6"/>
      <c r="H834" s="2"/>
    </row>
    <row r="835" spans="1:8" ht="15.75">
      <c r="A835" s="2"/>
      <c r="B835" s="106"/>
      <c r="C835" s="2"/>
      <c r="D835" s="2"/>
      <c r="E835" s="4"/>
      <c r="F835" s="5"/>
      <c r="G835" s="6"/>
      <c r="H835" s="2"/>
    </row>
    <row r="836" spans="1:8" ht="15.75">
      <c r="A836" s="2"/>
      <c r="B836" s="106"/>
      <c r="C836" s="2"/>
      <c r="D836" s="2"/>
      <c r="E836" s="4"/>
      <c r="F836" s="5"/>
      <c r="G836" s="6"/>
      <c r="H836" s="2"/>
    </row>
    <row r="837" spans="1:8" ht="15.75">
      <c r="A837" s="2"/>
      <c r="B837" s="106"/>
      <c r="C837" s="2"/>
      <c r="D837" s="2"/>
      <c r="E837" s="4"/>
      <c r="F837" s="5"/>
      <c r="G837" s="6"/>
      <c r="H837" s="2"/>
    </row>
    <row r="838" spans="1:8" ht="15.75">
      <c r="A838" s="2"/>
      <c r="B838" s="106"/>
      <c r="C838" s="2"/>
      <c r="D838" s="2"/>
      <c r="E838" s="4"/>
      <c r="F838" s="5"/>
      <c r="G838" s="6"/>
      <c r="H838" s="2"/>
    </row>
    <row r="839" spans="1:8" ht="15.75">
      <c r="A839" s="2"/>
      <c r="B839" s="106"/>
      <c r="C839" s="2"/>
      <c r="D839" s="2"/>
      <c r="E839" s="4"/>
      <c r="F839" s="5"/>
      <c r="G839" s="6"/>
      <c r="H839" s="2"/>
    </row>
    <row r="840" spans="1:8" ht="15.75">
      <c r="A840" s="2"/>
      <c r="B840" s="106"/>
      <c r="C840" s="2"/>
      <c r="D840" s="2"/>
      <c r="E840" s="4"/>
      <c r="F840" s="5"/>
      <c r="G840" s="6"/>
      <c r="H840" s="2"/>
    </row>
    <row r="841" spans="1:8" ht="15.75">
      <c r="A841" s="2"/>
      <c r="B841" s="106"/>
      <c r="C841" s="2"/>
      <c r="D841" s="2"/>
      <c r="E841" s="4"/>
      <c r="F841" s="5"/>
      <c r="G841" s="6"/>
      <c r="H841" s="2"/>
    </row>
    <row r="842" spans="1:8" ht="15.75">
      <c r="A842" s="2"/>
      <c r="B842" s="106"/>
      <c r="C842" s="2"/>
      <c r="D842" s="2"/>
      <c r="E842" s="4"/>
      <c r="F842" s="5"/>
      <c r="G842" s="6"/>
      <c r="H842" s="2"/>
    </row>
    <row r="843" spans="1:8" ht="15.75">
      <c r="A843" s="2"/>
      <c r="B843" s="106"/>
      <c r="C843" s="2"/>
      <c r="D843" s="2"/>
      <c r="E843" s="4"/>
      <c r="F843" s="5"/>
      <c r="G843" s="6"/>
      <c r="H843" s="2"/>
    </row>
    <row r="844" spans="1:8" ht="15.75">
      <c r="A844" s="2"/>
      <c r="B844" s="106"/>
      <c r="C844" s="2"/>
      <c r="D844" s="2"/>
      <c r="E844" s="4"/>
      <c r="F844" s="5"/>
      <c r="G844" s="6"/>
      <c r="H844" s="2"/>
    </row>
    <row r="845" spans="1:8" ht="15.75">
      <c r="A845" s="2"/>
      <c r="B845" s="106"/>
      <c r="C845" s="2"/>
      <c r="D845" s="2"/>
      <c r="E845" s="4"/>
      <c r="F845" s="5"/>
      <c r="G845" s="6"/>
      <c r="H845" s="2"/>
    </row>
    <row r="846" spans="1:8" ht="15.75">
      <c r="A846" s="2"/>
      <c r="B846" s="106"/>
      <c r="C846" s="2"/>
      <c r="D846" s="2"/>
      <c r="E846" s="4"/>
      <c r="F846" s="5"/>
      <c r="G846" s="6"/>
      <c r="H846" s="2"/>
    </row>
    <row r="847" spans="1:8" ht="15.75">
      <c r="A847" s="2"/>
      <c r="B847" s="106"/>
      <c r="C847" s="2"/>
      <c r="D847" s="2"/>
      <c r="E847" s="4"/>
      <c r="F847" s="5"/>
      <c r="G847" s="6"/>
      <c r="H847" s="2"/>
    </row>
    <row r="848" spans="1:8" ht="15.75">
      <c r="A848" s="2"/>
      <c r="B848" s="106"/>
      <c r="C848" s="2"/>
      <c r="D848" s="2"/>
      <c r="E848" s="4"/>
      <c r="F848" s="5"/>
      <c r="G848" s="6"/>
      <c r="H848" s="2"/>
    </row>
    <row r="849" spans="1:8" ht="15.75">
      <c r="A849" s="2"/>
      <c r="B849" s="106"/>
      <c r="C849" s="2"/>
      <c r="D849" s="2"/>
      <c r="E849" s="4"/>
      <c r="F849" s="5"/>
      <c r="G849" s="6"/>
      <c r="H849" s="2"/>
    </row>
    <row r="850" spans="1:8" ht="15.75">
      <c r="A850" s="2"/>
      <c r="B850" s="106"/>
      <c r="C850" s="2"/>
      <c r="D850" s="2"/>
      <c r="E850" s="4"/>
      <c r="F850" s="5"/>
      <c r="G850" s="6"/>
      <c r="H850" s="2"/>
    </row>
    <row r="851" spans="1:8" ht="15.75">
      <c r="A851" s="2"/>
      <c r="B851" s="106"/>
      <c r="C851" s="2"/>
      <c r="D851" s="2"/>
      <c r="E851" s="4"/>
      <c r="F851" s="5"/>
      <c r="G851" s="6"/>
      <c r="H851" s="2"/>
    </row>
    <row r="852" spans="1:8" ht="15.75">
      <c r="A852" s="2"/>
      <c r="B852" s="106"/>
      <c r="C852" s="2"/>
      <c r="D852" s="2"/>
      <c r="E852" s="4"/>
      <c r="F852" s="5"/>
      <c r="G852" s="6"/>
      <c r="H852" s="2"/>
    </row>
    <row r="853" spans="1:8" ht="15.75">
      <c r="A853" s="2"/>
      <c r="B853" s="106"/>
      <c r="C853" s="2"/>
      <c r="D853" s="2"/>
      <c r="E853" s="4"/>
      <c r="F853" s="5"/>
      <c r="G853" s="6"/>
      <c r="H853" s="2"/>
    </row>
    <row r="854" spans="1:8" ht="15.75">
      <c r="A854" s="2"/>
      <c r="B854" s="106"/>
      <c r="C854" s="2"/>
      <c r="D854" s="2"/>
      <c r="E854" s="4"/>
      <c r="F854" s="5"/>
      <c r="G854" s="6"/>
      <c r="H854" s="2"/>
    </row>
    <row r="855" spans="1:8" ht="15.75">
      <c r="A855" s="2"/>
      <c r="B855" s="106"/>
      <c r="C855" s="2"/>
      <c r="D855" s="2"/>
      <c r="E855" s="4"/>
      <c r="F855" s="5"/>
      <c r="G855" s="6"/>
      <c r="H855" s="2"/>
    </row>
    <row r="856" spans="1:8" ht="15.75">
      <c r="A856" s="2"/>
      <c r="B856" s="106"/>
      <c r="C856" s="2"/>
      <c r="D856" s="2"/>
      <c r="E856" s="4"/>
      <c r="F856" s="5"/>
      <c r="G856" s="6"/>
      <c r="H856" s="2"/>
    </row>
    <row r="857" spans="1:8" ht="15.75">
      <c r="A857" s="2"/>
      <c r="B857" s="106"/>
      <c r="C857" s="2"/>
      <c r="D857" s="2"/>
      <c r="E857" s="4"/>
      <c r="F857" s="5"/>
      <c r="G857" s="6"/>
      <c r="H857" s="2"/>
    </row>
    <row r="858" spans="1:8" ht="15.75">
      <c r="A858" s="2"/>
      <c r="B858" s="106"/>
      <c r="C858" s="2"/>
      <c r="D858" s="2"/>
      <c r="E858" s="4"/>
      <c r="F858" s="5"/>
      <c r="G858" s="6"/>
      <c r="H858" s="2"/>
    </row>
    <row r="859" spans="1:8" ht="15.75">
      <c r="A859" s="2"/>
      <c r="B859" s="106"/>
      <c r="C859" s="2"/>
      <c r="D859" s="2"/>
      <c r="E859" s="4"/>
      <c r="F859" s="5"/>
      <c r="G859" s="6"/>
      <c r="H859" s="2"/>
    </row>
    <row r="860" spans="1:8" ht="15.75">
      <c r="A860" s="2"/>
      <c r="B860" s="106"/>
      <c r="C860" s="2"/>
      <c r="D860" s="2"/>
      <c r="E860" s="4"/>
      <c r="F860" s="5"/>
      <c r="G860" s="6"/>
      <c r="H860" s="2"/>
    </row>
    <row r="861" spans="1:8" ht="15.75">
      <c r="A861" s="2"/>
      <c r="B861" s="106"/>
      <c r="C861" s="2"/>
      <c r="D861" s="2"/>
      <c r="E861" s="4"/>
      <c r="F861" s="5"/>
      <c r="G861" s="6"/>
      <c r="H861" s="2"/>
    </row>
    <row r="862" spans="1:8" ht="15.75">
      <c r="A862" s="2"/>
      <c r="B862" s="106"/>
      <c r="C862" s="2"/>
      <c r="D862" s="2"/>
      <c r="E862" s="4"/>
      <c r="F862" s="5"/>
      <c r="G862" s="6"/>
      <c r="H862" s="2"/>
    </row>
    <row r="863" spans="1:8" ht="15.75">
      <c r="A863" s="2"/>
      <c r="B863" s="106"/>
      <c r="C863" s="2"/>
      <c r="D863" s="2"/>
      <c r="E863" s="4"/>
      <c r="F863" s="5"/>
      <c r="G863" s="6"/>
      <c r="H863" s="2"/>
    </row>
    <row r="864" spans="1:8" ht="15.75">
      <c r="A864" s="2"/>
      <c r="B864" s="106"/>
      <c r="C864" s="2"/>
      <c r="D864" s="2"/>
      <c r="E864" s="4"/>
      <c r="F864" s="5"/>
      <c r="G864" s="6"/>
      <c r="H864" s="2"/>
    </row>
    <row r="865" spans="1:8" ht="15.75">
      <c r="A865" s="2"/>
      <c r="B865" s="106"/>
      <c r="C865" s="2"/>
      <c r="D865" s="2"/>
      <c r="E865" s="4"/>
      <c r="F865" s="5"/>
      <c r="G865" s="6"/>
      <c r="H865" s="2"/>
    </row>
    <row r="866" spans="1:8" ht="15.75">
      <c r="A866" s="2"/>
      <c r="B866" s="106"/>
      <c r="C866" s="2"/>
      <c r="D866" s="2"/>
      <c r="E866" s="4"/>
      <c r="F866" s="5"/>
      <c r="G866" s="6"/>
      <c r="H866" s="2"/>
    </row>
    <row r="867" spans="1:8" ht="15.75">
      <c r="A867" s="2"/>
      <c r="B867" s="106"/>
      <c r="C867" s="2"/>
      <c r="D867" s="2"/>
      <c r="E867" s="4"/>
      <c r="F867" s="5"/>
      <c r="G867" s="6"/>
      <c r="H867" s="2"/>
    </row>
    <row r="868" spans="1:8" ht="15.75">
      <c r="A868" s="2"/>
      <c r="B868" s="106"/>
      <c r="C868" s="2"/>
      <c r="D868" s="2"/>
      <c r="E868" s="4"/>
      <c r="F868" s="5"/>
      <c r="G868" s="6"/>
      <c r="H868" s="2"/>
    </row>
    <row r="869" spans="1:8" ht="15.75">
      <c r="A869" s="2"/>
      <c r="B869" s="106"/>
      <c r="C869" s="2"/>
      <c r="D869" s="2"/>
      <c r="E869" s="4"/>
      <c r="F869" s="5"/>
      <c r="G869" s="6"/>
      <c r="H869" s="2"/>
    </row>
    <row r="870" spans="1:8" ht="15.75">
      <c r="A870" s="2"/>
      <c r="B870" s="106"/>
      <c r="C870" s="2"/>
      <c r="D870" s="2"/>
      <c r="E870" s="4"/>
      <c r="F870" s="5"/>
      <c r="G870" s="6"/>
      <c r="H870" s="2"/>
    </row>
    <row r="871" spans="1:8" ht="15.75">
      <c r="A871" s="2"/>
      <c r="B871" s="106"/>
      <c r="C871" s="2"/>
      <c r="D871" s="2"/>
      <c r="E871" s="4"/>
      <c r="F871" s="5"/>
      <c r="G871" s="6"/>
      <c r="H871" s="2"/>
    </row>
    <row r="872" spans="1:8" ht="15.75">
      <c r="A872" s="2"/>
      <c r="B872" s="106"/>
      <c r="C872" s="2"/>
      <c r="D872" s="2"/>
      <c r="E872" s="4"/>
      <c r="F872" s="5"/>
      <c r="G872" s="6"/>
      <c r="H872" s="2"/>
    </row>
    <row r="873" spans="1:8" ht="15.75">
      <c r="A873" s="2"/>
      <c r="B873" s="106"/>
      <c r="C873" s="2"/>
      <c r="D873" s="2"/>
      <c r="E873" s="4"/>
      <c r="F873" s="5"/>
      <c r="G873" s="6"/>
      <c r="H873" s="2"/>
    </row>
    <row r="874" spans="1:8" ht="15.75">
      <c r="A874" s="2"/>
      <c r="B874" s="106"/>
      <c r="C874" s="2"/>
      <c r="D874" s="2"/>
      <c r="E874" s="4"/>
      <c r="F874" s="5"/>
      <c r="G874" s="6"/>
      <c r="H874" s="2"/>
    </row>
    <row r="875" spans="1:8" ht="15.75">
      <c r="A875" s="2"/>
      <c r="B875" s="106"/>
      <c r="C875" s="2"/>
      <c r="D875" s="2"/>
      <c r="E875" s="4"/>
      <c r="F875" s="5"/>
      <c r="G875" s="6"/>
      <c r="H875" s="2"/>
    </row>
    <row r="876" spans="1:8" ht="15.75">
      <c r="A876" s="2"/>
      <c r="B876" s="106"/>
      <c r="C876" s="2"/>
      <c r="D876" s="2"/>
      <c r="E876" s="4"/>
      <c r="F876" s="5"/>
      <c r="G876" s="6"/>
      <c r="H876" s="2"/>
    </row>
    <row r="877" spans="1:8" ht="15.75">
      <c r="A877" s="2"/>
      <c r="B877" s="106"/>
      <c r="C877" s="2"/>
      <c r="D877" s="2"/>
      <c r="E877" s="4"/>
      <c r="F877" s="5"/>
      <c r="G877" s="6"/>
      <c r="H877" s="2"/>
    </row>
    <row r="878" spans="1:8" ht="15.75">
      <c r="A878" s="2"/>
      <c r="B878" s="106"/>
      <c r="C878" s="2"/>
      <c r="D878" s="2"/>
      <c r="E878" s="4"/>
      <c r="F878" s="5"/>
      <c r="G878" s="6"/>
      <c r="H878" s="2"/>
    </row>
    <row r="879" spans="1:8" ht="15.75">
      <c r="A879" s="2"/>
      <c r="B879" s="106"/>
      <c r="C879" s="2"/>
      <c r="D879" s="2"/>
      <c r="E879" s="4"/>
      <c r="F879" s="5"/>
      <c r="G879" s="6"/>
      <c r="H879" s="2"/>
    </row>
    <row r="880" spans="1:8" ht="15.75">
      <c r="A880" s="2"/>
      <c r="B880" s="106"/>
      <c r="C880" s="2"/>
      <c r="D880" s="2"/>
      <c r="E880" s="4"/>
      <c r="F880" s="5"/>
      <c r="G880" s="6"/>
      <c r="H880" s="2"/>
    </row>
    <row r="881" spans="1:8" ht="15.75">
      <c r="A881" s="2"/>
      <c r="B881" s="106"/>
      <c r="C881" s="2"/>
      <c r="D881" s="2"/>
      <c r="E881" s="4"/>
      <c r="F881" s="5"/>
      <c r="G881" s="6"/>
      <c r="H881" s="2"/>
    </row>
    <row r="882" spans="1:8" ht="15.75">
      <c r="A882" s="2"/>
      <c r="B882" s="106"/>
      <c r="C882" s="2"/>
      <c r="D882" s="2"/>
      <c r="E882" s="4"/>
      <c r="F882" s="5"/>
      <c r="G882" s="6"/>
      <c r="H882" s="2"/>
    </row>
    <row r="883" spans="1:8" ht="15.75">
      <c r="A883" s="2"/>
      <c r="B883" s="106"/>
      <c r="C883" s="2"/>
      <c r="D883" s="2"/>
      <c r="E883" s="4"/>
      <c r="F883" s="5"/>
      <c r="G883" s="6"/>
      <c r="H883" s="2"/>
    </row>
    <row r="884" spans="1:8" ht="15.75">
      <c r="A884" s="2"/>
      <c r="B884" s="106"/>
      <c r="C884" s="2"/>
      <c r="D884" s="2"/>
      <c r="E884" s="4"/>
      <c r="F884" s="5"/>
      <c r="G884" s="6"/>
      <c r="H884" s="2"/>
    </row>
    <row r="885" spans="1:8" ht="15.75">
      <c r="A885" s="2"/>
      <c r="B885" s="106"/>
      <c r="C885" s="2"/>
      <c r="D885" s="2"/>
      <c r="E885" s="4"/>
      <c r="F885" s="5"/>
      <c r="G885" s="6"/>
      <c r="H885" s="2"/>
    </row>
    <row r="886" spans="1:8" ht="15.75">
      <c r="A886" s="2"/>
      <c r="B886" s="106"/>
      <c r="C886" s="2"/>
      <c r="D886" s="2"/>
      <c r="E886" s="4"/>
      <c r="F886" s="5"/>
      <c r="G886" s="6"/>
      <c r="H886" s="2"/>
    </row>
    <row r="887" spans="1:8" ht="15.75">
      <c r="A887" s="2"/>
      <c r="B887" s="106"/>
      <c r="C887" s="2"/>
      <c r="D887" s="2"/>
      <c r="E887" s="4"/>
      <c r="F887" s="5"/>
      <c r="G887" s="6"/>
      <c r="H887" s="2"/>
    </row>
    <row r="888" spans="1:8" ht="15.75">
      <c r="A888" s="2"/>
      <c r="B888" s="106"/>
      <c r="C888" s="2"/>
      <c r="D888" s="2"/>
      <c r="E888" s="4"/>
      <c r="F888" s="5"/>
      <c r="G888" s="6"/>
      <c r="H888" s="2"/>
    </row>
    <row r="889" spans="1:8" ht="15.75">
      <c r="A889" s="2"/>
      <c r="B889" s="106"/>
      <c r="C889" s="2"/>
      <c r="D889" s="2"/>
      <c r="E889" s="4"/>
      <c r="F889" s="5"/>
      <c r="G889" s="6"/>
      <c r="H889" s="2"/>
    </row>
    <row r="890" spans="1:8" ht="15.75">
      <c r="A890" s="2"/>
      <c r="B890" s="106"/>
      <c r="C890" s="2"/>
      <c r="D890" s="2"/>
      <c r="E890" s="4"/>
      <c r="F890" s="5"/>
      <c r="G890" s="6"/>
      <c r="H890" s="2"/>
    </row>
    <row r="891" spans="1:8" ht="15.75">
      <c r="A891" s="2"/>
      <c r="B891" s="106"/>
      <c r="C891" s="2"/>
      <c r="D891" s="2"/>
      <c r="E891" s="4"/>
      <c r="F891" s="5"/>
      <c r="G891" s="6"/>
      <c r="H891" s="2"/>
    </row>
    <row r="892" spans="1:8" ht="15.75">
      <c r="A892" s="2"/>
      <c r="B892" s="106"/>
      <c r="C892" s="2"/>
      <c r="D892" s="2"/>
      <c r="E892" s="4"/>
      <c r="F892" s="5"/>
      <c r="G892" s="6"/>
      <c r="H892" s="2"/>
    </row>
    <row r="893" spans="1:8" ht="15.75">
      <c r="A893" s="2"/>
      <c r="B893" s="106"/>
      <c r="C893" s="2"/>
      <c r="D893" s="2"/>
      <c r="E893" s="4"/>
      <c r="F893" s="5"/>
      <c r="G893" s="6"/>
      <c r="H893" s="2"/>
    </row>
    <row r="894" spans="1:8" ht="15.75">
      <c r="A894" s="2"/>
      <c r="B894" s="106"/>
      <c r="C894" s="2"/>
      <c r="D894" s="2"/>
      <c r="E894" s="4"/>
      <c r="F894" s="5"/>
      <c r="G894" s="6"/>
      <c r="H894" s="2"/>
    </row>
    <row r="895" spans="1:8" ht="15.75">
      <c r="A895" s="2"/>
      <c r="B895" s="106"/>
      <c r="C895" s="2"/>
      <c r="D895" s="2"/>
      <c r="E895" s="4"/>
      <c r="F895" s="5"/>
      <c r="G895" s="6"/>
      <c r="H895" s="2"/>
    </row>
    <row r="896" spans="1:8" ht="15.75">
      <c r="A896" s="2"/>
      <c r="B896" s="106"/>
      <c r="C896" s="2"/>
      <c r="D896" s="2"/>
      <c r="E896" s="4"/>
      <c r="F896" s="5"/>
      <c r="G896" s="6"/>
      <c r="H896" s="2"/>
    </row>
    <row r="897" spans="1:8" ht="15.75">
      <c r="A897" s="2"/>
      <c r="B897" s="106"/>
      <c r="C897" s="2"/>
      <c r="D897" s="2"/>
      <c r="E897" s="4"/>
      <c r="F897" s="5"/>
      <c r="G897" s="6"/>
      <c r="H897" s="2"/>
    </row>
    <row r="898" spans="1:8" ht="15.75">
      <c r="A898" s="2"/>
      <c r="B898" s="106"/>
      <c r="C898" s="2"/>
      <c r="D898" s="2"/>
      <c r="E898" s="4"/>
      <c r="F898" s="5"/>
      <c r="G898" s="6"/>
      <c r="H898" s="2"/>
    </row>
    <row r="899" spans="1:8" ht="15.75">
      <c r="A899" s="2"/>
      <c r="B899" s="106"/>
      <c r="C899" s="2"/>
      <c r="D899" s="2"/>
      <c r="E899" s="4"/>
      <c r="F899" s="5"/>
      <c r="G899" s="6"/>
      <c r="H899" s="2"/>
    </row>
    <row r="900" spans="1:8" ht="15.75">
      <c r="A900" s="2"/>
      <c r="B900" s="106"/>
      <c r="C900" s="2"/>
      <c r="D900" s="2"/>
      <c r="E900" s="4"/>
      <c r="F900" s="5"/>
      <c r="G900" s="6"/>
      <c r="H900" s="2"/>
    </row>
    <row r="901" spans="1:8" ht="15.75">
      <c r="A901" s="2"/>
      <c r="B901" s="106"/>
      <c r="C901" s="2"/>
      <c r="D901" s="2"/>
      <c r="E901" s="4"/>
      <c r="F901" s="5"/>
      <c r="G901" s="6"/>
      <c r="H901" s="2"/>
    </row>
    <row r="902" spans="1:8" ht="15.75">
      <c r="A902" s="2"/>
      <c r="B902" s="106"/>
      <c r="C902" s="2"/>
      <c r="D902" s="2"/>
      <c r="E902" s="4"/>
      <c r="F902" s="5"/>
      <c r="G902" s="6"/>
      <c r="H902" s="2"/>
    </row>
    <row r="903" spans="1:8" ht="15.75">
      <c r="A903" s="2"/>
      <c r="B903" s="106"/>
      <c r="C903" s="2"/>
      <c r="D903" s="2"/>
      <c r="E903" s="4"/>
      <c r="F903" s="5"/>
      <c r="G903" s="6"/>
      <c r="H903" s="2"/>
    </row>
    <row r="904" spans="1:8" ht="15.75">
      <c r="A904" s="2"/>
      <c r="B904" s="106"/>
      <c r="C904" s="2"/>
      <c r="D904" s="2"/>
      <c r="E904" s="4"/>
      <c r="F904" s="5"/>
      <c r="G904" s="6"/>
      <c r="H904" s="2"/>
    </row>
    <row r="905" spans="1:8" ht="15.75">
      <c r="A905" s="2"/>
      <c r="B905" s="106"/>
      <c r="C905" s="2"/>
      <c r="D905" s="2"/>
      <c r="E905" s="4"/>
      <c r="F905" s="5"/>
      <c r="G905" s="6"/>
      <c r="H905" s="2"/>
    </row>
    <row r="906" spans="1:8" ht="15.75">
      <c r="A906" s="2"/>
      <c r="B906" s="106"/>
      <c r="C906" s="2"/>
      <c r="D906" s="2"/>
      <c r="E906" s="4"/>
      <c r="F906" s="5"/>
      <c r="G906" s="6"/>
      <c r="H906" s="2"/>
    </row>
    <row r="907" spans="1:8" ht="15.75">
      <c r="A907" s="2"/>
      <c r="B907" s="106"/>
      <c r="C907" s="2"/>
      <c r="D907" s="2"/>
      <c r="E907" s="4"/>
      <c r="F907" s="5"/>
      <c r="G907" s="6"/>
      <c r="H907" s="2"/>
    </row>
    <row r="908" spans="1:8" ht="15.75">
      <c r="A908" s="2"/>
      <c r="B908" s="106"/>
      <c r="C908" s="2"/>
      <c r="D908" s="2"/>
      <c r="E908" s="4"/>
      <c r="F908" s="5"/>
      <c r="G908" s="6"/>
      <c r="H908" s="2"/>
    </row>
    <row r="909" spans="1:8" ht="15.75">
      <c r="A909" s="2"/>
      <c r="B909" s="106"/>
      <c r="C909" s="2"/>
      <c r="D909" s="2"/>
      <c r="E909" s="4"/>
      <c r="F909" s="5"/>
      <c r="G909" s="6"/>
      <c r="H909" s="2"/>
    </row>
    <row r="910" spans="1:8" ht="15.75">
      <c r="A910" s="2"/>
      <c r="B910" s="106"/>
      <c r="C910" s="2"/>
      <c r="D910" s="2"/>
      <c r="E910" s="4"/>
      <c r="F910" s="5"/>
      <c r="G910" s="6"/>
      <c r="H910" s="2"/>
    </row>
    <row r="911" spans="1:8" ht="15.75">
      <c r="A911" s="2"/>
      <c r="B911" s="106"/>
      <c r="C911" s="2"/>
      <c r="D911" s="2"/>
      <c r="E911" s="4"/>
      <c r="F911" s="5"/>
      <c r="G911" s="6"/>
      <c r="H911" s="2"/>
    </row>
    <row r="912" spans="1:8" ht="15.75">
      <c r="A912" s="2"/>
      <c r="B912" s="106"/>
      <c r="C912" s="2"/>
      <c r="D912" s="2"/>
      <c r="E912" s="4"/>
      <c r="F912" s="5"/>
      <c r="G912" s="6"/>
      <c r="H912" s="2"/>
    </row>
    <row r="913" spans="1:8" ht="15.75">
      <c r="A913" s="2"/>
      <c r="B913" s="106"/>
      <c r="C913" s="2"/>
      <c r="D913" s="2"/>
      <c r="E913" s="4"/>
      <c r="F913" s="5"/>
      <c r="G913" s="6"/>
      <c r="H913" s="2"/>
    </row>
    <row r="914" spans="1:8" ht="15.75">
      <c r="A914" s="2"/>
      <c r="B914" s="106"/>
      <c r="C914" s="2"/>
      <c r="D914" s="2"/>
      <c r="E914" s="4"/>
      <c r="F914" s="5"/>
      <c r="G914" s="6"/>
      <c r="H914" s="2"/>
    </row>
    <row r="915" spans="1:8" ht="15.75">
      <c r="A915" s="2"/>
      <c r="B915" s="106"/>
      <c r="C915" s="2"/>
      <c r="D915" s="2"/>
      <c r="E915" s="4"/>
      <c r="F915" s="5"/>
      <c r="G915" s="6"/>
      <c r="H915" s="2"/>
    </row>
    <row r="916" spans="1:8" ht="15.75">
      <c r="A916" s="2"/>
      <c r="B916" s="106"/>
      <c r="C916" s="2"/>
      <c r="D916" s="2"/>
      <c r="E916" s="4"/>
      <c r="F916" s="5"/>
      <c r="G916" s="6"/>
      <c r="H916" s="2"/>
    </row>
    <row r="917" spans="1:8" ht="15.75">
      <c r="A917" s="2"/>
      <c r="B917" s="106"/>
      <c r="C917" s="2"/>
      <c r="D917" s="2"/>
      <c r="E917" s="4"/>
      <c r="F917" s="5"/>
      <c r="G917" s="6"/>
      <c r="H917" s="2"/>
    </row>
    <row r="918" spans="1:8" ht="15.75">
      <c r="A918" s="2"/>
      <c r="B918" s="106"/>
      <c r="C918" s="2"/>
      <c r="D918" s="2"/>
      <c r="E918" s="4"/>
      <c r="F918" s="5"/>
      <c r="G918" s="6"/>
      <c r="H918" s="2"/>
    </row>
    <row r="919" spans="1:8" ht="15.75">
      <c r="A919" s="2"/>
      <c r="B919" s="106"/>
      <c r="C919" s="2"/>
      <c r="D919" s="2"/>
      <c r="E919" s="4"/>
      <c r="F919" s="5"/>
      <c r="G919" s="6"/>
      <c r="H919" s="2"/>
    </row>
    <row r="920" spans="1:8" ht="15.75">
      <c r="A920" s="2"/>
      <c r="B920" s="106"/>
      <c r="C920" s="2"/>
      <c r="D920" s="2"/>
      <c r="E920" s="4"/>
      <c r="F920" s="5"/>
      <c r="G920" s="6"/>
      <c r="H920" s="2"/>
    </row>
    <row r="921" spans="1:8" ht="15.75">
      <c r="A921" s="2"/>
      <c r="B921" s="106"/>
      <c r="C921" s="2"/>
      <c r="D921" s="2"/>
      <c r="E921" s="4"/>
      <c r="F921" s="5"/>
      <c r="G921" s="6"/>
      <c r="H921" s="2"/>
    </row>
    <row r="922" spans="1:8" ht="15.75">
      <c r="A922" s="2"/>
      <c r="B922" s="106"/>
      <c r="C922" s="2"/>
      <c r="D922" s="2"/>
      <c r="E922" s="4"/>
      <c r="F922" s="5"/>
      <c r="G922" s="6"/>
      <c r="H922" s="2"/>
    </row>
    <row r="923" spans="1:8" ht="15.75">
      <c r="A923" s="2"/>
      <c r="B923" s="106"/>
      <c r="C923" s="2"/>
      <c r="D923" s="2"/>
      <c r="E923" s="4"/>
      <c r="F923" s="5"/>
      <c r="G923" s="6"/>
      <c r="H923" s="2"/>
    </row>
    <row r="924" spans="1:8" ht="15.75">
      <c r="A924" s="2"/>
      <c r="B924" s="106"/>
      <c r="C924" s="2"/>
      <c r="D924" s="2"/>
      <c r="E924" s="4"/>
      <c r="F924" s="5"/>
      <c r="G924" s="6"/>
      <c r="H924" s="2"/>
    </row>
    <row r="925" spans="1:8" ht="15.75">
      <c r="A925" s="2"/>
      <c r="B925" s="106"/>
      <c r="C925" s="2"/>
      <c r="D925" s="2"/>
      <c r="E925" s="4"/>
      <c r="F925" s="5"/>
      <c r="G925" s="6"/>
      <c r="H925" s="2"/>
    </row>
    <row r="926" spans="1:8" ht="15.75">
      <c r="A926" s="2"/>
      <c r="B926" s="106"/>
      <c r="C926" s="2"/>
      <c r="D926" s="2"/>
      <c r="E926" s="4"/>
      <c r="F926" s="5"/>
      <c r="G926" s="6"/>
      <c r="H926" s="2"/>
    </row>
    <row r="927" spans="1:8" ht="15.75">
      <c r="A927" s="2"/>
      <c r="B927" s="106"/>
      <c r="C927" s="2"/>
      <c r="D927" s="2"/>
      <c r="E927" s="4"/>
      <c r="F927" s="5"/>
      <c r="G927" s="6"/>
      <c r="H927" s="2"/>
    </row>
    <row r="928" spans="1:8" ht="15.75">
      <c r="A928" s="2"/>
      <c r="B928" s="106"/>
      <c r="C928" s="2"/>
      <c r="D928" s="2"/>
      <c r="E928" s="4"/>
      <c r="F928" s="5"/>
      <c r="G928" s="6"/>
      <c r="H928" s="2"/>
    </row>
    <row r="929" spans="1:8" ht="15.75">
      <c r="A929" s="2"/>
      <c r="B929" s="106"/>
      <c r="C929" s="2"/>
      <c r="D929" s="2"/>
      <c r="E929" s="4"/>
      <c r="F929" s="5"/>
      <c r="G929" s="6"/>
      <c r="H929" s="2"/>
    </row>
    <row r="930" spans="1:8" ht="15.75">
      <c r="A930" s="2"/>
      <c r="B930" s="106"/>
      <c r="C930" s="2"/>
      <c r="D930" s="2"/>
      <c r="E930" s="4"/>
      <c r="F930" s="5"/>
      <c r="G930" s="6"/>
      <c r="H930" s="2"/>
    </row>
    <row r="931" spans="1:8" ht="15.75">
      <c r="A931" s="2"/>
      <c r="B931" s="106"/>
      <c r="C931" s="2"/>
      <c r="D931" s="2"/>
      <c r="E931" s="4"/>
      <c r="F931" s="5"/>
      <c r="G931" s="6"/>
      <c r="H931" s="2"/>
    </row>
    <row r="932" spans="1:8" ht="15.75">
      <c r="A932" s="2"/>
      <c r="B932" s="106"/>
      <c r="C932" s="2"/>
      <c r="D932" s="2"/>
      <c r="E932" s="4"/>
      <c r="F932" s="5"/>
      <c r="G932" s="6"/>
      <c r="H932" s="2"/>
    </row>
    <row r="933" spans="1:8" ht="15.75">
      <c r="A933" s="2"/>
      <c r="B933" s="106"/>
      <c r="C933" s="2"/>
      <c r="D933" s="2"/>
      <c r="E933" s="4"/>
      <c r="F933" s="5"/>
      <c r="G933" s="6"/>
      <c r="H933" s="2"/>
    </row>
    <row r="934" spans="1:8" ht="15.75">
      <c r="A934" s="2"/>
      <c r="B934" s="106"/>
      <c r="C934" s="2"/>
      <c r="D934" s="2"/>
      <c r="E934" s="4"/>
      <c r="F934" s="5"/>
      <c r="G934" s="6"/>
      <c r="H934" s="2"/>
    </row>
    <row r="935" spans="1:8" ht="15.75">
      <c r="A935" s="2"/>
      <c r="B935" s="106"/>
      <c r="C935" s="2"/>
      <c r="D935" s="2"/>
      <c r="E935" s="4"/>
      <c r="F935" s="5"/>
      <c r="G935" s="6"/>
      <c r="H935" s="2"/>
    </row>
    <row r="936" spans="1:8" ht="15.75">
      <c r="A936" s="2"/>
      <c r="B936" s="106"/>
      <c r="C936" s="2"/>
      <c r="D936" s="2"/>
      <c r="E936" s="4"/>
      <c r="F936" s="5"/>
      <c r="G936" s="6"/>
      <c r="H936" s="2"/>
    </row>
    <row r="937" spans="1:8" ht="15.75">
      <c r="A937" s="2"/>
      <c r="B937" s="106"/>
      <c r="C937" s="2"/>
      <c r="D937" s="2"/>
      <c r="E937" s="4"/>
      <c r="F937" s="5"/>
      <c r="G937" s="6"/>
      <c r="H937" s="2"/>
    </row>
    <row r="938" spans="1:8" ht="15.75">
      <c r="A938" s="2"/>
      <c r="B938" s="106"/>
      <c r="C938" s="2"/>
      <c r="D938" s="2"/>
      <c r="E938" s="4"/>
      <c r="F938" s="5"/>
      <c r="G938" s="6"/>
      <c r="H938" s="2"/>
    </row>
    <row r="939" spans="1:8" ht="15.75">
      <c r="A939" s="2"/>
      <c r="B939" s="106"/>
      <c r="C939" s="2"/>
      <c r="D939" s="2"/>
      <c r="E939" s="4"/>
      <c r="F939" s="5"/>
      <c r="G939" s="6"/>
      <c r="H939" s="2"/>
    </row>
    <row r="940" spans="1:8" ht="15.75">
      <c r="A940" s="2"/>
      <c r="B940" s="106"/>
      <c r="C940" s="2"/>
      <c r="D940" s="2"/>
      <c r="E940" s="4"/>
      <c r="F940" s="5"/>
      <c r="G940" s="6"/>
      <c r="H940" s="2"/>
    </row>
    <row r="941" spans="1:8" ht="15.75">
      <c r="A941" s="2"/>
      <c r="B941" s="106"/>
      <c r="C941" s="2"/>
      <c r="D941" s="2"/>
      <c r="E941" s="4"/>
      <c r="F941" s="5"/>
      <c r="G941" s="6"/>
      <c r="H941" s="2"/>
    </row>
    <row r="942" spans="1:8" ht="15.75">
      <c r="A942" s="2"/>
      <c r="B942" s="106"/>
      <c r="C942" s="2"/>
      <c r="D942" s="2"/>
      <c r="E942" s="4"/>
      <c r="F942" s="5"/>
      <c r="G942" s="6"/>
      <c r="H942" s="2"/>
    </row>
    <row r="943" spans="1:8" ht="15.75">
      <c r="A943" s="2"/>
      <c r="B943" s="106"/>
      <c r="C943" s="2"/>
      <c r="D943" s="2"/>
      <c r="E943" s="4"/>
      <c r="F943" s="5"/>
      <c r="G943" s="6"/>
      <c r="H943" s="2"/>
    </row>
    <row r="944" spans="1:8" ht="15.75">
      <c r="A944" s="2"/>
      <c r="B944" s="106"/>
      <c r="C944" s="2"/>
      <c r="D944" s="2"/>
      <c r="E944" s="4"/>
      <c r="F944" s="5"/>
      <c r="G944" s="6"/>
      <c r="H944" s="2"/>
    </row>
    <row r="945" spans="1:8" ht="15.75">
      <c r="A945" s="2"/>
      <c r="B945" s="106"/>
      <c r="C945" s="2"/>
      <c r="D945" s="2"/>
      <c r="E945" s="4"/>
      <c r="F945" s="5"/>
      <c r="G945" s="6"/>
      <c r="H945" s="2"/>
    </row>
    <row r="946" spans="1:8" ht="15.75">
      <c r="A946" s="2"/>
      <c r="B946" s="106"/>
      <c r="C946" s="2"/>
      <c r="D946" s="2"/>
      <c r="E946" s="4"/>
      <c r="F946" s="5"/>
      <c r="G946" s="6"/>
      <c r="H946" s="2"/>
    </row>
    <row r="947" spans="1:8" ht="15.75">
      <c r="A947" s="2"/>
      <c r="B947" s="106"/>
      <c r="C947" s="2"/>
      <c r="D947" s="2"/>
      <c r="E947" s="4"/>
      <c r="F947" s="5"/>
      <c r="G947" s="6"/>
      <c r="H947" s="2"/>
    </row>
    <row r="948" spans="1:8" ht="15.75">
      <c r="A948" s="2"/>
      <c r="B948" s="106"/>
      <c r="C948" s="2"/>
      <c r="D948" s="2"/>
      <c r="E948" s="4"/>
      <c r="F948" s="5"/>
      <c r="G948" s="6"/>
      <c r="H948" s="2"/>
    </row>
    <row r="949" spans="1:8" ht="15.75">
      <c r="A949" s="2"/>
      <c r="B949" s="106"/>
      <c r="C949" s="2"/>
      <c r="D949" s="2"/>
      <c r="E949" s="4"/>
      <c r="F949" s="5"/>
      <c r="G949" s="6"/>
      <c r="H949" s="2"/>
    </row>
    <row r="950" spans="1:8" ht="15.75">
      <c r="A950" s="2"/>
      <c r="B950" s="106"/>
      <c r="C950" s="2"/>
      <c r="D950" s="2"/>
      <c r="E950" s="4"/>
      <c r="F950" s="5"/>
      <c r="G950" s="6"/>
      <c r="H950" s="2"/>
    </row>
    <row r="951" spans="1:8" ht="15.75">
      <c r="A951" s="2"/>
      <c r="B951" s="106"/>
      <c r="C951" s="2"/>
      <c r="D951" s="2"/>
      <c r="E951" s="4"/>
      <c r="F951" s="5"/>
      <c r="G951" s="6"/>
      <c r="H951" s="2"/>
    </row>
    <row r="952" spans="1:8" ht="15.75">
      <c r="A952" s="2"/>
      <c r="B952" s="106"/>
      <c r="C952" s="2"/>
      <c r="D952" s="2"/>
      <c r="E952" s="4"/>
      <c r="F952" s="5"/>
      <c r="G952" s="6"/>
      <c r="H952" s="2"/>
    </row>
    <row r="953" spans="1:8" ht="15.75">
      <c r="A953" s="2"/>
      <c r="B953" s="106"/>
      <c r="C953" s="2"/>
      <c r="D953" s="2"/>
      <c r="E953" s="4"/>
      <c r="F953" s="5"/>
      <c r="G953" s="6"/>
      <c r="H953" s="2"/>
    </row>
    <row r="954" spans="1:8" ht="15.75">
      <c r="A954" s="2"/>
      <c r="B954" s="106"/>
      <c r="C954" s="2"/>
      <c r="D954" s="2"/>
      <c r="E954" s="4"/>
      <c r="F954" s="5"/>
      <c r="G954" s="6"/>
      <c r="H954" s="2"/>
    </row>
    <row r="955" spans="1:8" ht="15.75">
      <c r="A955" s="2"/>
      <c r="B955" s="106"/>
      <c r="C955" s="2"/>
      <c r="D955" s="2"/>
      <c r="E955" s="4"/>
      <c r="F955" s="5"/>
      <c r="G955" s="6"/>
      <c r="H955" s="2"/>
    </row>
    <row r="956" spans="1:8" ht="15.75">
      <c r="A956" s="2"/>
      <c r="B956" s="106"/>
      <c r="C956" s="2"/>
      <c r="D956" s="2"/>
      <c r="E956" s="4"/>
      <c r="F956" s="5"/>
      <c r="G956" s="6"/>
      <c r="H956" s="2"/>
    </row>
    <row r="957" spans="1:8" ht="15.75">
      <c r="A957" s="2"/>
      <c r="B957" s="106"/>
      <c r="C957" s="2"/>
      <c r="D957" s="2"/>
      <c r="E957" s="4"/>
      <c r="F957" s="5"/>
      <c r="G957" s="6"/>
      <c r="H957" s="2"/>
    </row>
    <row r="958" spans="1:8" ht="15.75">
      <c r="A958" s="2"/>
      <c r="B958" s="106"/>
      <c r="C958" s="2"/>
      <c r="D958" s="2"/>
      <c r="E958" s="4"/>
      <c r="F958" s="5"/>
      <c r="G958" s="6"/>
      <c r="H958" s="2"/>
    </row>
    <row r="959" spans="1:8" ht="15.75">
      <c r="A959" s="2"/>
      <c r="B959" s="106"/>
      <c r="C959" s="2"/>
      <c r="D959" s="2"/>
      <c r="E959" s="4"/>
      <c r="F959" s="5"/>
      <c r="G959" s="6"/>
      <c r="H959" s="2"/>
    </row>
    <row r="960" spans="1:8" ht="15.75">
      <c r="A960" s="2"/>
      <c r="B960" s="106"/>
      <c r="C960" s="2"/>
      <c r="D960" s="2"/>
      <c r="E960" s="4"/>
      <c r="F960" s="5"/>
      <c r="G960" s="6"/>
      <c r="H960" s="2"/>
    </row>
    <row r="961" spans="1:8" ht="15.75">
      <c r="A961" s="2"/>
      <c r="B961" s="106"/>
      <c r="C961" s="2"/>
      <c r="D961" s="2"/>
      <c r="E961" s="4"/>
      <c r="F961" s="5"/>
      <c r="G961" s="6"/>
      <c r="H961" s="2"/>
    </row>
    <row r="962" spans="1:8" ht="15.75">
      <c r="A962" s="2"/>
      <c r="B962" s="106"/>
      <c r="C962" s="2"/>
      <c r="D962" s="2"/>
      <c r="E962" s="4"/>
      <c r="F962" s="5"/>
      <c r="G962" s="6"/>
      <c r="H962" s="2"/>
    </row>
    <row r="963" spans="1:8" ht="15.75">
      <c r="A963" s="2"/>
      <c r="B963" s="106"/>
      <c r="C963" s="2"/>
      <c r="D963" s="2"/>
      <c r="E963" s="4"/>
      <c r="F963" s="5"/>
      <c r="G963" s="6"/>
      <c r="H963" s="2"/>
    </row>
    <row r="964" spans="1:8" ht="15.75">
      <c r="A964" s="2"/>
      <c r="B964" s="106"/>
      <c r="C964" s="2"/>
      <c r="D964" s="2"/>
      <c r="E964" s="4"/>
      <c r="F964" s="5"/>
      <c r="G964" s="6"/>
      <c r="H964" s="2"/>
    </row>
    <row r="965" spans="1:8" ht="15.75">
      <c r="A965" s="2"/>
      <c r="B965" s="106"/>
      <c r="C965" s="2"/>
      <c r="D965" s="2"/>
      <c r="E965" s="4"/>
      <c r="F965" s="5"/>
      <c r="G965" s="6"/>
      <c r="H965" s="2"/>
    </row>
    <row r="966" spans="1:8" ht="15.75">
      <c r="A966" s="2"/>
      <c r="B966" s="106"/>
      <c r="C966" s="2"/>
      <c r="D966" s="2"/>
      <c r="E966" s="4"/>
      <c r="F966" s="5"/>
      <c r="G966" s="6"/>
      <c r="H966" s="2"/>
    </row>
    <row r="967" spans="1:8" ht="15.75">
      <c r="A967" s="2"/>
      <c r="B967" s="106"/>
      <c r="C967" s="2"/>
      <c r="D967" s="2"/>
      <c r="E967" s="4"/>
      <c r="F967" s="5"/>
      <c r="G967" s="6"/>
      <c r="H967" s="2"/>
    </row>
    <row r="968" spans="1:8" ht="15.75">
      <c r="A968" s="2"/>
      <c r="B968" s="106"/>
      <c r="C968" s="2"/>
      <c r="D968" s="2"/>
      <c r="E968" s="4"/>
      <c r="F968" s="5"/>
      <c r="G968" s="6"/>
      <c r="H968" s="2"/>
    </row>
    <row r="969" spans="1:8" ht="15.75">
      <c r="A969" s="2"/>
      <c r="B969" s="106"/>
      <c r="C969" s="2"/>
      <c r="D969" s="2"/>
      <c r="E969" s="4"/>
      <c r="F969" s="5"/>
      <c r="G969" s="6"/>
      <c r="H969" s="2"/>
    </row>
    <row r="970" spans="1:8" ht="15.75">
      <c r="A970" s="2"/>
      <c r="B970" s="106"/>
      <c r="C970" s="2"/>
      <c r="D970" s="2"/>
      <c r="E970" s="4"/>
      <c r="F970" s="5"/>
      <c r="G970" s="6"/>
      <c r="H970" s="2"/>
    </row>
    <row r="971" spans="1:8" ht="15.75">
      <c r="A971" s="2"/>
      <c r="B971" s="106"/>
      <c r="C971" s="2"/>
      <c r="D971" s="2"/>
      <c r="E971" s="4"/>
      <c r="F971" s="5"/>
      <c r="G971" s="6"/>
      <c r="H971" s="2"/>
    </row>
    <row r="972" spans="1:8" ht="15.75">
      <c r="A972" s="2"/>
      <c r="B972" s="106"/>
      <c r="C972" s="2"/>
      <c r="D972" s="2"/>
      <c r="E972" s="4"/>
      <c r="F972" s="5"/>
      <c r="G972" s="6"/>
      <c r="H972" s="2"/>
    </row>
    <row r="973" spans="1:8" ht="15.75">
      <c r="A973" s="2"/>
      <c r="B973" s="106"/>
      <c r="C973" s="2"/>
      <c r="D973" s="2"/>
      <c r="E973" s="4"/>
      <c r="F973" s="5"/>
      <c r="G973" s="6"/>
      <c r="H973" s="2"/>
    </row>
    <row r="974" spans="1:8" ht="15.75">
      <c r="A974" s="2"/>
      <c r="B974" s="106"/>
      <c r="C974" s="2"/>
      <c r="D974" s="2"/>
      <c r="E974" s="4"/>
      <c r="F974" s="5"/>
      <c r="G974" s="6"/>
      <c r="H974" s="2"/>
    </row>
    <row r="975" spans="1:8" ht="15.75">
      <c r="A975" s="2"/>
      <c r="B975" s="106"/>
      <c r="C975" s="2"/>
      <c r="D975" s="2"/>
      <c r="E975" s="4"/>
      <c r="F975" s="5"/>
      <c r="G975" s="6"/>
      <c r="H975" s="2"/>
    </row>
    <row r="976" spans="1:8" ht="15.75">
      <c r="A976" s="2"/>
      <c r="B976" s="106"/>
      <c r="C976" s="2"/>
      <c r="D976" s="2"/>
      <c r="E976" s="4"/>
      <c r="F976" s="5"/>
      <c r="G976" s="6"/>
      <c r="H976" s="2"/>
    </row>
    <row r="977" spans="1:8" ht="15.75">
      <c r="A977" s="2"/>
      <c r="B977" s="106"/>
      <c r="C977" s="2"/>
      <c r="D977" s="2"/>
      <c r="E977" s="4"/>
      <c r="F977" s="5"/>
      <c r="G977" s="6"/>
      <c r="H977" s="2"/>
    </row>
    <row r="978" spans="1:8" ht="15.75">
      <c r="A978" s="2"/>
      <c r="B978" s="106"/>
      <c r="C978" s="2"/>
      <c r="D978" s="2"/>
      <c r="E978" s="4"/>
      <c r="F978" s="5"/>
      <c r="G978" s="6"/>
      <c r="H978" s="2"/>
    </row>
    <row r="979" spans="1:8" ht="15.75">
      <c r="A979" s="2"/>
      <c r="B979" s="106"/>
      <c r="C979" s="2"/>
      <c r="D979" s="2"/>
      <c r="E979" s="4"/>
      <c r="F979" s="5"/>
      <c r="G979" s="6"/>
      <c r="H979" s="2"/>
    </row>
    <row r="980" spans="1:8" ht="15.75">
      <c r="A980" s="2"/>
      <c r="B980" s="106"/>
      <c r="C980" s="2"/>
      <c r="D980" s="2"/>
      <c r="E980" s="4"/>
      <c r="F980" s="5"/>
      <c r="G980" s="6"/>
      <c r="H980" s="2"/>
    </row>
    <row r="981" spans="1:8" ht="15.75">
      <c r="A981" s="2"/>
      <c r="B981" s="106"/>
      <c r="C981" s="2"/>
      <c r="D981" s="2"/>
      <c r="E981" s="4"/>
      <c r="F981" s="5"/>
      <c r="G981" s="6"/>
      <c r="H981" s="2"/>
    </row>
    <row r="982" spans="1:8" ht="15.75">
      <c r="A982" s="2"/>
      <c r="B982" s="106"/>
      <c r="C982" s="2"/>
      <c r="D982" s="2"/>
      <c r="E982" s="4"/>
      <c r="F982" s="5"/>
      <c r="G982" s="6"/>
      <c r="H982" s="2"/>
    </row>
    <row r="983" spans="1:8" ht="15.75">
      <c r="A983" s="2"/>
      <c r="B983" s="106"/>
      <c r="C983" s="2"/>
      <c r="D983" s="2"/>
      <c r="E983" s="4"/>
      <c r="F983" s="5"/>
      <c r="G983" s="6"/>
      <c r="H983" s="2"/>
    </row>
    <row r="984" spans="1:8" ht="15.75">
      <c r="A984" s="2"/>
      <c r="B984" s="106"/>
      <c r="C984" s="2"/>
      <c r="D984" s="2"/>
      <c r="E984" s="4"/>
      <c r="F984" s="5"/>
      <c r="G984" s="6"/>
      <c r="H984" s="2"/>
    </row>
    <row r="985" spans="1:8" ht="15.75">
      <c r="A985" s="2"/>
      <c r="B985" s="106"/>
      <c r="C985" s="2"/>
      <c r="D985" s="2"/>
      <c r="E985" s="4"/>
      <c r="F985" s="5"/>
      <c r="G985" s="6"/>
      <c r="H985" s="2"/>
    </row>
    <row r="986" spans="1:8" ht="15.75">
      <c r="A986" s="2"/>
      <c r="B986" s="106"/>
      <c r="C986" s="2"/>
      <c r="D986" s="2"/>
      <c r="E986" s="4"/>
      <c r="F986" s="5"/>
      <c r="G986" s="6"/>
      <c r="H986" s="2"/>
    </row>
    <row r="987" spans="1:8" ht="15.75">
      <c r="A987" s="2"/>
      <c r="B987" s="106"/>
      <c r="C987" s="2"/>
      <c r="D987" s="2"/>
      <c r="E987" s="4"/>
      <c r="F987" s="5"/>
      <c r="G987" s="6"/>
      <c r="H987" s="2"/>
    </row>
    <row r="988" spans="1:8" ht="15.75">
      <c r="A988" s="2"/>
      <c r="B988" s="106"/>
      <c r="C988" s="2"/>
      <c r="D988" s="2"/>
      <c r="E988" s="4"/>
      <c r="F988" s="5"/>
      <c r="G988" s="6"/>
      <c r="H988" s="2"/>
    </row>
    <row r="989" spans="1:8" ht="15.75">
      <c r="A989" s="2"/>
      <c r="B989" s="106"/>
      <c r="C989" s="2"/>
      <c r="D989" s="2"/>
      <c r="E989" s="4"/>
      <c r="F989" s="5"/>
      <c r="G989" s="6"/>
      <c r="H989" s="2"/>
    </row>
    <row r="990" spans="1:8" ht="15.75">
      <c r="A990" s="2"/>
      <c r="B990" s="106"/>
      <c r="C990" s="2"/>
      <c r="D990" s="2"/>
      <c r="E990" s="4"/>
      <c r="F990" s="5"/>
      <c r="G990" s="6"/>
      <c r="H990" s="2"/>
    </row>
    <row r="991" spans="1:8" ht="15.75">
      <c r="A991" s="2"/>
      <c r="B991" s="106"/>
      <c r="C991" s="2"/>
      <c r="D991" s="2"/>
      <c r="E991" s="4"/>
      <c r="F991" s="5"/>
      <c r="G991" s="6"/>
      <c r="H991" s="2"/>
    </row>
    <row r="992" spans="1:8" ht="15.75">
      <c r="A992" s="2"/>
      <c r="B992" s="106"/>
      <c r="C992" s="2"/>
      <c r="D992" s="2"/>
      <c r="E992" s="4"/>
      <c r="F992" s="5"/>
      <c r="G992" s="6"/>
      <c r="H992" s="2"/>
    </row>
    <row r="993" spans="1:8" ht="15.75">
      <c r="A993" s="2"/>
      <c r="B993" s="106"/>
      <c r="C993" s="2"/>
      <c r="D993" s="2"/>
      <c r="E993" s="4"/>
      <c r="F993" s="5"/>
      <c r="G993" s="6"/>
      <c r="H993" s="2"/>
    </row>
    <row r="994" spans="1:8" ht="15.75">
      <c r="A994" s="2"/>
      <c r="B994" s="106"/>
      <c r="C994" s="2"/>
      <c r="D994" s="2"/>
      <c r="E994" s="4"/>
      <c r="F994" s="5"/>
      <c r="G994" s="6"/>
      <c r="H994" s="2"/>
    </row>
    <row r="995" spans="1:8" ht="15.75">
      <c r="A995" s="2"/>
      <c r="B995" s="106"/>
      <c r="C995" s="2"/>
      <c r="D995" s="2"/>
      <c r="E995" s="4"/>
      <c r="F995" s="5"/>
      <c r="G995" s="6"/>
      <c r="H995" s="2"/>
    </row>
    <row r="996" spans="1:8" ht="15.75">
      <c r="A996" s="2"/>
      <c r="B996" s="106"/>
      <c r="C996" s="2"/>
      <c r="D996" s="2"/>
      <c r="E996" s="4"/>
      <c r="F996" s="5"/>
      <c r="G996" s="6"/>
      <c r="H996" s="2"/>
    </row>
    <row r="997" spans="1:8" ht="15.75">
      <c r="A997" s="2"/>
      <c r="B997" s="106"/>
      <c r="C997" s="2"/>
      <c r="D997" s="2"/>
      <c r="E997" s="4"/>
      <c r="F997" s="5"/>
      <c r="G997" s="6"/>
      <c r="H997" s="2"/>
    </row>
    <row r="998" spans="1:8" ht="15.75">
      <c r="A998" s="2"/>
      <c r="B998" s="106"/>
      <c r="C998" s="2"/>
      <c r="D998" s="2"/>
      <c r="E998" s="4"/>
      <c r="F998" s="5"/>
      <c r="G998" s="6"/>
      <c r="H998" s="2"/>
    </row>
    <row r="999" spans="1:8" ht="15.75">
      <c r="A999" s="2"/>
      <c r="B999" s="106"/>
      <c r="C999" s="2"/>
      <c r="D999" s="2"/>
      <c r="E999" s="4"/>
      <c r="F999" s="5"/>
      <c r="G999" s="6"/>
      <c r="H999" s="2"/>
    </row>
    <row r="1000" spans="1:8" ht="15.75">
      <c r="A1000" s="2"/>
      <c r="B1000" s="106"/>
      <c r="C1000" s="2"/>
      <c r="D1000" s="2"/>
      <c r="E1000" s="4"/>
      <c r="F1000" s="5"/>
      <c r="G1000" s="6"/>
      <c r="H1000" s="2"/>
    </row>
    <row r="1001" spans="1:8" ht="15.75">
      <c r="A1001" s="2"/>
      <c r="B1001" s="106"/>
      <c r="C1001" s="2"/>
      <c r="D1001" s="2"/>
      <c r="E1001" s="4"/>
      <c r="F1001" s="5"/>
      <c r="G1001" s="6"/>
      <c r="H1001" s="2"/>
    </row>
  </sheetData>
  <autoFilter ref="A6:H99" xr:uid="{00000000-0009-0000-0000-000001000000}">
    <sortState xmlns:xlrd2="http://schemas.microsoft.com/office/spreadsheetml/2017/richdata2" ref="A6:H99">
      <sortCondition ref="A6:A99"/>
    </sortState>
  </autoFilter>
  <mergeCells count="4">
    <mergeCell ref="A1:H1"/>
    <mergeCell ref="A2:H2"/>
    <mergeCell ref="A3:G3"/>
    <mergeCell ref="A4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000"/>
  <sheetViews>
    <sheetView workbookViewId="0">
      <selection activeCell="D248" sqref="D248"/>
    </sheetView>
  </sheetViews>
  <sheetFormatPr defaultColWidth="14.42578125" defaultRowHeight="15" customHeight="1"/>
  <cols>
    <col min="1" max="1" width="27.85546875" customWidth="1"/>
    <col min="2" max="2" width="17.28515625" customWidth="1"/>
    <col min="3" max="3" width="20.5703125" customWidth="1"/>
    <col min="4" max="4" width="19.5703125" customWidth="1"/>
    <col min="5" max="26" width="8.7109375" customWidth="1"/>
  </cols>
  <sheetData>
    <row r="2" spans="1:4">
      <c r="A2" s="231" t="s">
        <v>527</v>
      </c>
      <c r="B2" s="224"/>
      <c r="C2" s="224"/>
      <c r="D2" s="225"/>
    </row>
    <row r="3" spans="1:4">
      <c r="A3" s="232" t="s">
        <v>528</v>
      </c>
      <c r="B3" s="227"/>
      <c r="C3" s="227"/>
      <c r="D3" s="228"/>
    </row>
    <row r="4" spans="1:4" ht="15.75">
      <c r="A4" s="194"/>
      <c r="B4" s="195"/>
      <c r="C4" s="195"/>
      <c r="D4" s="196"/>
    </row>
    <row r="5" spans="1:4" ht="31.5">
      <c r="A5" s="19" t="s">
        <v>529</v>
      </c>
      <c r="B5" s="19" t="s">
        <v>7</v>
      </c>
      <c r="C5" s="197" t="s">
        <v>10</v>
      </c>
      <c r="D5" s="197" t="s">
        <v>11</v>
      </c>
    </row>
    <row r="6" spans="1:4" ht="15.75">
      <c r="A6" s="198"/>
      <c r="B6" s="198"/>
      <c r="C6" s="199"/>
      <c r="D6" s="199"/>
    </row>
    <row r="7" spans="1:4" ht="15.75">
      <c r="A7" s="198"/>
      <c r="B7" s="198"/>
      <c r="C7" s="199"/>
      <c r="D7" s="199"/>
    </row>
    <row r="8" spans="1:4" ht="15.75">
      <c r="A8" s="198"/>
      <c r="B8" s="198"/>
      <c r="C8" s="199"/>
      <c r="D8" s="199"/>
    </row>
    <row r="9" spans="1:4" ht="15.75">
      <c r="A9" s="198"/>
      <c r="B9" s="198"/>
      <c r="C9" s="199"/>
      <c r="D9" s="199"/>
    </row>
    <row r="10" spans="1:4" ht="15.75">
      <c r="A10" s="198"/>
      <c r="B10" s="198"/>
      <c r="C10" s="199"/>
      <c r="D10" s="199"/>
    </row>
    <row r="11" spans="1:4" ht="15.75">
      <c r="A11" s="198"/>
      <c r="B11" s="198"/>
      <c r="C11" s="199"/>
      <c r="D11" s="199"/>
    </row>
    <row r="12" spans="1:4">
      <c r="A12" s="200"/>
      <c r="B12" s="200"/>
      <c r="C12" s="201"/>
      <c r="D12" s="201"/>
    </row>
    <row r="13" spans="1:4">
      <c r="A13" s="200"/>
      <c r="B13" s="200"/>
      <c r="C13" s="201"/>
      <c r="D13" s="201"/>
    </row>
    <row r="14" spans="1:4">
      <c r="A14" s="200"/>
      <c r="B14" s="200"/>
      <c r="C14" s="201"/>
      <c r="D14" s="201"/>
    </row>
    <row r="15" spans="1:4">
      <c r="A15" s="200"/>
      <c r="B15" s="200"/>
      <c r="C15" s="201"/>
      <c r="D15" s="201"/>
    </row>
    <row r="16" spans="1:4">
      <c r="A16" s="200"/>
      <c r="B16" s="200"/>
      <c r="C16" s="201"/>
      <c r="D16" s="201"/>
    </row>
    <row r="17" spans="1:4">
      <c r="A17" s="200"/>
      <c r="B17" s="200"/>
      <c r="C17" s="201"/>
      <c r="D17" s="201"/>
    </row>
    <row r="18" spans="1:4">
      <c r="A18" s="200"/>
      <c r="B18" s="200"/>
      <c r="C18" s="201"/>
      <c r="D18" s="201"/>
    </row>
    <row r="19" spans="1:4">
      <c r="A19" s="200"/>
      <c r="B19" s="200"/>
      <c r="C19" s="201"/>
      <c r="D19" s="201"/>
    </row>
    <row r="20" spans="1:4">
      <c r="A20" s="202"/>
      <c r="B20" s="202"/>
      <c r="C20" s="203"/>
      <c r="D20" s="203"/>
    </row>
    <row r="21" spans="1:4" ht="15.75" customHeight="1">
      <c r="A21" s="204" t="s">
        <v>530</v>
      </c>
    </row>
    <row r="22" spans="1:4" ht="15.75" customHeight="1"/>
    <row r="23" spans="1:4" ht="15.75" customHeight="1"/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2:D2"/>
    <mergeCell ref="A3:D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By Type</vt:lpstr>
      <vt:lpstr>By Origin</vt:lpstr>
      <vt:lpstr>Sheet3</vt:lpstr>
      <vt:lpstr>Sheet4</vt:lpstr>
      <vt:lpstr>Intl Vs Dom</vt:lpstr>
      <vt:lpstr>Nov 2024 Data</vt:lpstr>
      <vt:lpstr>For Matt</vt:lpstr>
      <vt:lpstr>Dec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 LeonGuerrero</dc:creator>
  <cp:lastModifiedBy>Matthew Santos</cp:lastModifiedBy>
  <dcterms:created xsi:type="dcterms:W3CDTF">2025-06-01T23:37:45Z</dcterms:created>
  <dcterms:modified xsi:type="dcterms:W3CDTF">2025-08-14T00:58:40Z</dcterms:modified>
</cp:coreProperties>
</file>