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atthew.santos\Downloads\"/>
    </mc:Choice>
  </mc:AlternateContent>
  <xr:revisionPtr revIDLastSave="0" documentId="13_ncr:1_{64AE62AC-0374-4A03-92BE-7318CEBEE2CA}" xr6:coauthVersionLast="47" xr6:coauthVersionMax="47" xr10:uidLastSave="{00000000-0000-0000-0000-000000000000}"/>
  <bookViews>
    <workbookView xWindow="-120" yWindow="-120" windowWidth="29040" windowHeight="15720" activeTab="1" xr2:uid="{00000000-000D-0000-FFFF-FFFF00000000}"/>
  </bookViews>
  <sheets>
    <sheet name="Project Budget Summary" sheetId="1" r:id="rId1"/>
    <sheet name="ENV Schedule" sheetId="3" r:id="rId2"/>
    <sheet name="ENV Budget" sheetId="4" r:id="rId3"/>
    <sheet name="GEO Hours Breakdown" sheetId="5" r:id="rId4"/>
    <sheet name="COST FY'25" sheetId="6" r:id="rId5"/>
    <sheet name="Step 4 (compliance) budget" sheetId="7" r:id="rId6"/>
    <sheet name="Step 7 (contracting prep) budge" sheetId="8" r:id="rId7"/>
    <sheet name="Steb 9b (stabilization) budget" sheetId="9" r:id="rId8"/>
  </sheets>
  <externalReferences>
    <externalReference r:id="rId9"/>
    <externalReference r:id="rId10"/>
    <externalReference r:id="rId11"/>
  </externalReferences>
  <definedNames>
    <definedName name="branch_hours">[1]Br!$B$23</definedName>
    <definedName name="branch_labor_total">[1]Br!$E$23</definedName>
    <definedName name="branch_rate">[1]Br!$C$23</definedName>
    <definedName name="ce_hours">[1]CE1!$B$39</definedName>
    <definedName name="ce_labor_total">[1]CE1!$E$39</definedName>
    <definedName name="ce_other">[1]CE2!$E$35</definedName>
    <definedName name="ce_rate">[1]CE1!$C$39</definedName>
    <definedName name="ct_hours">[1]CT1!$B$40</definedName>
    <definedName name="ct_labor_total">[1]CT1!$E$40</definedName>
    <definedName name="ct_other">[1]CT2!$E$31</definedName>
    <definedName name="ct_rate">[1]CT1!$C$40</definedName>
    <definedName name="Emp_Cost">[2]!Tbl_EmpData[Name]</definedName>
    <definedName name="es_hours">[1]ES1!$B$45</definedName>
    <definedName name="es_labor_total">[1]ES1!$E$45</definedName>
    <definedName name="es_other">[1]ES2!$E$33</definedName>
    <definedName name="es_rate">[1]ES1!$C$45</definedName>
    <definedName name="m_hours">[1]M1!$B$40</definedName>
    <definedName name="m_labor_total">[1]M1!$E$40</definedName>
    <definedName name="m_other">[1]M2!$E$38</definedName>
    <definedName name="m_rate">[1]M1!$C$40</definedName>
    <definedName name="perdiem_rate">[1]Cover!$B$57</definedName>
    <definedName name="_xlnm.Print_Area" localSheetId="4">'COST FY''25'!$A$1:$N$72</definedName>
    <definedName name="_xlnm.Print_Area" localSheetId="0">'Project Budget Summary'!$A$1:$F$23</definedName>
    <definedName name="_xlnm.Print_Area" localSheetId="7">'Steb 9b (stabilization) budget'!#REF!</definedName>
    <definedName name="_xlnm.Print_Titles" localSheetId="4">'COST FY''25'!$1:$9</definedName>
    <definedName name="sg_hours">[1]SG1!$B$49</definedName>
    <definedName name="sg_labor_total">[1]SG1!$E$49</definedName>
    <definedName name="sg_other">[1]SG2!$E$54</definedName>
    <definedName name="sg_rate">[1]SG1!$C$49</definedName>
    <definedName name="sp_hours">[1]SP1!$B$22</definedName>
    <definedName name="sp_labor_total">[1]SP1!$E$22</definedName>
    <definedName name="sp_other">[1]SP2!$E$36</definedName>
    <definedName name="sp_rate">[1]SP1!$C$22</definedName>
    <definedName name="sy_hours">[1]SY1!$B$42</definedName>
    <definedName name="sy_labor_total">[1]SY1!$E$42</definedName>
    <definedName name="sy_other">[1]SY2!$E$31</definedName>
    <definedName name="sy_rate">[1]SY1!$C$42</definedName>
    <definedName name="wrn.Baseline._.Scope._.Elk._.Creek._.Dam." localSheetId="4" hidden="1">{#N/A,#N/A,FALSE,"elk-fdm-sow";#N/A,#N/A,FALSE,"ORG-BUDGETS";#N/A,#N/A,FALSE,"BMS 97";#N/A,#N/A,FALSE,"BMS 98";#N/A,#N/A,FALSE,"LABREST"}</definedName>
    <definedName name="wrn.Baseline._.Scope._.Elk._.Creek._.Dam." hidden="1">{#N/A,#N/A,FALSE,"elk-fdm-sow";#N/A,#N/A,FALSE,"ORG-BUDGETS";#N/A,#N/A,FALSE,"BMS 97";#N/A,#N/A,FALSE,"BMS 98";#N/A,#N/A,FALSE,"LABREST"}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C35" i="9"/>
  <c r="D34" i="9"/>
  <c r="D33" i="9"/>
  <c r="D32" i="9"/>
  <c r="D31" i="9"/>
  <c r="D35" i="9" s="1"/>
  <c r="C25" i="9"/>
  <c r="D24" i="9"/>
  <c r="D25" i="9" s="1"/>
  <c r="D23" i="9"/>
  <c r="C20" i="9"/>
  <c r="D19" i="9"/>
  <c r="D20" i="9" s="1"/>
  <c r="D18" i="9"/>
  <c r="D17" i="9"/>
  <c r="C14" i="9"/>
  <c r="D13" i="9"/>
  <c r="D12" i="9"/>
  <c r="D14" i="9" s="1"/>
  <c r="C20" i="8"/>
  <c r="B20" i="8"/>
  <c r="D17" i="8"/>
  <c r="C17" i="8"/>
  <c r="D16" i="8"/>
  <c r="C16" i="8"/>
  <c r="D15" i="8"/>
  <c r="E18" i="8" s="1"/>
  <c r="C15" i="8"/>
  <c r="D11" i="8"/>
  <c r="C11" i="8"/>
  <c r="D10" i="8"/>
  <c r="E12" i="8" s="1"/>
  <c r="E20" i="8" s="1"/>
  <c r="E22" i="8" s="1"/>
  <c r="C10" i="8"/>
  <c r="D9" i="8"/>
  <c r="C9" i="8"/>
  <c r="B70" i="7"/>
  <c r="D66" i="7"/>
  <c r="C66" i="7"/>
  <c r="D65" i="7"/>
  <c r="C65" i="7"/>
  <c r="D64" i="7"/>
  <c r="E67" i="7" s="1"/>
  <c r="C64" i="7"/>
  <c r="D60" i="7"/>
  <c r="E61" i="7" s="1"/>
  <c r="C60" i="7"/>
  <c r="D59" i="7"/>
  <c r="C59" i="7"/>
  <c r="D58" i="7"/>
  <c r="C58" i="7"/>
  <c r="D54" i="7"/>
  <c r="C54" i="7"/>
  <c r="D53" i="7"/>
  <c r="C53" i="7"/>
  <c r="D52" i="7"/>
  <c r="E55" i="7" s="1"/>
  <c r="C52" i="7"/>
  <c r="D48" i="7"/>
  <c r="C48" i="7"/>
  <c r="D47" i="7"/>
  <c r="E49" i="7" s="1"/>
  <c r="C47" i="7"/>
  <c r="D46" i="7"/>
  <c r="C46" i="7"/>
  <c r="D42" i="7"/>
  <c r="C42" i="7"/>
  <c r="D41" i="7"/>
  <c r="E43" i="7" s="1"/>
  <c r="C41" i="7"/>
  <c r="D37" i="7"/>
  <c r="C37" i="7"/>
  <c r="D36" i="7"/>
  <c r="E38" i="7" s="1"/>
  <c r="C36" i="7"/>
  <c r="D32" i="7"/>
  <c r="C32" i="7"/>
  <c r="D31" i="7"/>
  <c r="E33" i="7" s="1"/>
  <c r="C31" i="7"/>
  <c r="D27" i="7"/>
  <c r="C27" i="7"/>
  <c r="D26" i="7"/>
  <c r="C26" i="7"/>
  <c r="D25" i="7"/>
  <c r="E28" i="7" s="1"/>
  <c r="C25" i="7"/>
  <c r="D21" i="7"/>
  <c r="C21" i="7"/>
  <c r="D20" i="7"/>
  <c r="C20" i="7"/>
  <c r="D19" i="7"/>
  <c r="E22" i="7" s="1"/>
  <c r="C19" i="7"/>
  <c r="R17" i="7"/>
  <c r="Q16" i="7"/>
  <c r="Q15" i="7"/>
  <c r="K15" i="7"/>
  <c r="D15" i="7"/>
  <c r="C15" i="7"/>
  <c r="Q14" i="7"/>
  <c r="K14" i="7"/>
  <c r="D14" i="7"/>
  <c r="E16" i="7" s="1"/>
  <c r="C14" i="7"/>
  <c r="C70" i="7" s="1"/>
  <c r="Q13" i="7"/>
  <c r="R70" i="7" s="1"/>
  <c r="K13" i="7"/>
  <c r="L16" i="7" s="1"/>
  <c r="B28" i="9" l="1"/>
  <c r="D28" i="9" s="1"/>
  <c r="D38" i="9" s="1"/>
  <c r="E70" i="7"/>
  <c r="L70" i="7"/>
  <c r="E72" i="7" l="1"/>
  <c r="G66" i="6" l="1"/>
  <c r="H64" i="6"/>
  <c r="H63" i="6" s="1"/>
  <c r="G29" i="6" s="1"/>
  <c r="L29" i="6" s="1"/>
  <c r="G64" i="6"/>
  <c r="N63" i="6"/>
  <c r="M63" i="6"/>
  <c r="L63" i="6"/>
  <c r="K63" i="6"/>
  <c r="J63" i="6"/>
  <c r="I63" i="6"/>
  <c r="G30" i="6" s="1"/>
  <c r="L30" i="6" s="1"/>
  <c r="G63" i="6"/>
  <c r="F63" i="6"/>
  <c r="N61" i="6"/>
  <c r="M61" i="6"/>
  <c r="L61" i="6"/>
  <c r="K61" i="6"/>
  <c r="J61" i="6"/>
  <c r="I61" i="6"/>
  <c r="H61" i="6"/>
  <c r="G61" i="6"/>
  <c r="F61" i="6"/>
  <c r="M58" i="6"/>
  <c r="M57" i="6"/>
  <c r="M56" i="6"/>
  <c r="M55" i="6"/>
  <c r="L52" i="6"/>
  <c r="G51" i="6"/>
  <c r="L51" i="6" s="1"/>
  <c r="M53" i="6" s="1"/>
  <c r="L48" i="6"/>
  <c r="L47" i="6"/>
  <c r="I46" i="6"/>
  <c r="L46" i="6" s="1"/>
  <c r="L45" i="6"/>
  <c r="L44" i="6"/>
  <c r="M49" i="6" s="1"/>
  <c r="I44" i="6"/>
  <c r="L41" i="6"/>
  <c r="L40" i="6"/>
  <c r="M42" i="6" s="1"/>
  <c r="G35" i="6"/>
  <c r="L35" i="6" s="1"/>
  <c r="G34" i="6"/>
  <c r="L34" i="6" s="1"/>
  <c r="G33" i="6"/>
  <c r="L33" i="6" s="1"/>
  <c r="L32" i="6"/>
  <c r="G32" i="6"/>
  <c r="L31" i="6"/>
  <c r="G31" i="6"/>
  <c r="G28" i="6"/>
  <c r="L28" i="6" s="1"/>
  <c r="G27" i="6"/>
  <c r="L27" i="6" s="1"/>
  <c r="M7" i="6"/>
  <c r="F7" i="6"/>
  <c r="A7" i="6"/>
  <c r="K5" i="6"/>
  <c r="H5" i="6"/>
  <c r="A5" i="6"/>
  <c r="K1" i="6"/>
  <c r="G36" i="6" l="1"/>
  <c r="L36" i="6" s="1"/>
  <c r="M38" i="6" s="1"/>
  <c r="M60" i="6" s="1"/>
  <c r="G37" i="6" l="1"/>
  <c r="J38" i="6" l="1"/>
  <c r="F21" i="6"/>
  <c r="E50" i="5" l="1"/>
  <c r="D50" i="5"/>
  <c r="C50" i="5"/>
  <c r="E47" i="5"/>
  <c r="D47" i="5"/>
  <c r="C47" i="5"/>
  <c r="E42" i="5"/>
  <c r="D42" i="5"/>
  <c r="D36" i="5" s="1"/>
  <c r="D55" i="5" s="1"/>
  <c r="C42" i="5"/>
  <c r="C36" i="5" s="1"/>
  <c r="C55" i="5" s="1"/>
  <c r="F55" i="5" s="1"/>
  <c r="F61" i="5" s="1"/>
  <c r="E37" i="5"/>
  <c r="E36" i="5" s="1"/>
  <c r="E55" i="5" s="1"/>
  <c r="D37" i="5"/>
  <c r="C37" i="5"/>
  <c r="C31" i="5"/>
  <c r="C29" i="5"/>
  <c r="E20" i="5"/>
  <c r="D20" i="5"/>
  <c r="C20" i="5"/>
  <c r="E17" i="5"/>
  <c r="D17" i="5"/>
  <c r="C17" i="5"/>
  <c r="E14" i="5"/>
  <c r="D14" i="5"/>
  <c r="C14" i="5"/>
  <c r="E10" i="5"/>
  <c r="D10" i="5"/>
  <c r="C10" i="5"/>
  <c r="E4" i="5"/>
  <c r="D4" i="5"/>
  <c r="C4" i="5"/>
  <c r="E3" i="5"/>
  <c r="E25" i="5" s="1"/>
  <c r="D3" i="5"/>
  <c r="D25" i="5" s="1"/>
  <c r="C3" i="5"/>
  <c r="C25" i="5" s="1"/>
  <c r="F25" i="5" s="1"/>
  <c r="F32" i="5" s="1"/>
  <c r="F64" i="5" l="1"/>
  <c r="D6" i="4" l="1"/>
  <c r="D5" i="4"/>
  <c r="C4" i="4"/>
  <c r="D4" i="4" s="1"/>
  <c r="C3" i="4"/>
  <c r="D3" i="4" s="1"/>
  <c r="D10" i="4" s="1"/>
  <c r="D2" i="4"/>
  <c r="C4" i="3"/>
  <c r="D4" i="3"/>
  <c r="C5" i="3" s="1"/>
  <c r="D5" i="3" s="1"/>
  <c r="C6" i="3"/>
  <c r="D6" i="3" s="1"/>
  <c r="C9" i="3"/>
  <c r="C13" i="3" s="1"/>
  <c r="D13" i="3" s="1"/>
  <c r="C44" i="3"/>
  <c r="D43" i="3" s="1"/>
  <c r="C43" i="3" s="1"/>
  <c r="D42" i="3" s="1"/>
  <c r="C42" i="3" s="1"/>
  <c r="F45" i="3"/>
  <c r="G45" i="3"/>
  <c r="C10" i="3" l="1"/>
  <c r="D10" i="3" s="1"/>
  <c r="D9" i="3"/>
  <c r="C14" i="3"/>
  <c r="D14" i="3" s="1"/>
  <c r="C19" i="3"/>
  <c r="D19" i="3" s="1"/>
  <c r="C24" i="3" s="1"/>
  <c r="D24" i="3" s="1"/>
  <c r="C25" i="3" s="1"/>
  <c r="D25" i="3" s="1"/>
  <c r="C26" i="3" s="1"/>
  <c r="D26" i="3" s="1"/>
  <c r="C30" i="3" s="1"/>
  <c r="D30" i="3" s="1"/>
  <c r="C31" i="3" s="1"/>
  <c r="D31" i="3" s="1"/>
  <c r="C32" i="3" s="1"/>
  <c r="D32" i="3" s="1"/>
  <c r="C11" i="3"/>
  <c r="D11" i="3" s="1"/>
  <c r="C12" i="3" s="1"/>
  <c r="D12" i="3" s="1"/>
  <c r="C15" i="3" l="1"/>
  <c r="D15" i="3" s="1"/>
  <c r="C20" i="3"/>
  <c r="D20" i="3" s="1"/>
  <c r="C34" i="3"/>
  <c r="D34" i="3" s="1"/>
  <c r="C35" i="3" s="1"/>
  <c r="D35" i="3" s="1"/>
  <c r="C36" i="3" s="1"/>
  <c r="D36" i="3" s="1"/>
  <c r="C37" i="3" s="1"/>
  <c r="D37" i="3" s="1"/>
  <c r="C38" i="3" s="1"/>
  <c r="D38" i="3" s="1"/>
  <c r="C39" i="3" s="1"/>
  <c r="D39" i="3" s="1"/>
  <c r="C40" i="3" s="1"/>
  <c r="D40" i="3" s="1"/>
  <c r="C41" i="3" s="1"/>
  <c r="D41" i="3" s="1"/>
  <c r="D6" i="1"/>
  <c r="C6" i="1"/>
  <c r="C21" i="1"/>
  <c r="C17" i="1"/>
  <c r="C16" i="3" l="1"/>
  <c r="D16" i="3" s="1"/>
  <c r="C21" i="3"/>
  <c r="D21" i="3" s="1"/>
  <c r="C33" i="3"/>
  <c r="D33" i="3" s="1"/>
  <c r="D23" i="1"/>
  <c r="C17" i="3" l="1"/>
  <c r="D17" i="3" s="1"/>
  <c r="E33" i="3" s="1"/>
  <c r="E37" i="3" s="1"/>
  <c r="E38" i="3" s="1"/>
  <c r="E39" i="3" s="1"/>
  <c r="E40" i="3" s="1"/>
  <c r="E41" i="3" s="1"/>
  <c r="E42" i="3" s="1"/>
  <c r="E43" i="3" s="1"/>
  <c r="E44" i="3" s="1"/>
  <c r="C22" i="3"/>
  <c r="D22" i="3" s="1"/>
  <c r="C23" i="1"/>
  <c r="F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tc={7529061F-06E7-4802-A68E-099FD08CCFC3}</author>
    <author>tc={D91ED619-4146-4955-A96A-2A630EAD30F6}</author>
    <author>tc={E0B085E1-D475-4CB7-958A-7D247D669F95}</author>
    <author>tc={5C3F4471-8A56-4AFA-860A-A7406858FAD9}</author>
    <author>tc={76A1C834-878B-4904-9959-9F415EFC813D}</author>
    <author>tc={A5CFB026-5968-4916-91CB-DB3B1655EDDE}</author>
    <author>tc={E2214FA9-65B1-46FA-AD6B-ECD891E28BBE}</author>
  </authors>
  <commentList>
    <comment ref="F4" authorId="0" shapeId="0" xr:uid="{7529061F-06E7-4802-A68E-099FD08CCFC3}">
      <text>
        <t>[Threaded comment]
Your version of Excel allows you to read this threaded comment; however, any edits to it will get removed if the file is opened in a newer version of Excel. Learn more: https://go.microsoft.com/fwlink/?linkid=870924
Comment:
    I bumped this up to 8 to include work at the desk for due outs from initial meeting</t>
      </text>
    </comment>
    <comment ref="F7" authorId="1" shapeId="0" xr:uid="{D91ED619-4146-4955-A96A-2A630EAD30F6}">
      <text>
        <t>[Threaded comment]
Your version of Excel allows you to read this threaded comment; however, any edits to it will get removed if the file is opened in a newer version of Excel. Learn more: https://go.microsoft.com/fwlink/?linkid=870924
Comment:
    I added hours for scope negotiation</t>
      </text>
    </comment>
    <comment ref="H19" authorId="2" shapeId="0" xr:uid="{E0B085E1-D475-4CB7-958A-7D247D669F95}">
      <text>
        <t>[Threaded comment]
Your version of Excel allows you to read this threaded comment; however, any edits to it will get removed if the file is opened in a newer version of Excel. Learn more: https://go.microsoft.com/fwlink/?linkid=870924
Comment:
    Lets add relevant predecessors so we are clear that accomplishing env task(s) is contingent upon pertinent and timely info.</t>
      </text>
    </comment>
    <comment ref="A23" authorId="3" shapeId="0" xr:uid="{5C3F4471-8A56-4AFA-860A-A7406858FAD9}">
      <text>
        <t>[Threaded comment]
Your version of Excel allows you to read this threaded comment; however, any edits to it will get removed if the file is opened in a newer version of Excel. Learn more: https://go.microsoft.com/fwlink/?linkid=870924
Comment:
    Since this is IIS, we would be drafting the DA permit application for OIA or BSP to submit to regulatory and need to account for that time under task 27 and eliinate task 24 as it is part of the permit application. We do not traditionally submit a Section 404(b)(1) analysis in the DA permit application; traditionally this is the responsibility of Regulatory to do so I would eiliminate the 404(b)(1) task. This section should more accurately represent applying for a permit. And in this case, if there is a 404 discharge, then we should also be preparing a Section 401 WQC application for which I have no experience to advise on the scope or timeline associated with a W!C application in Guam. Likewise I cannot advise on the timeline for a 402 permit application, but I know Jessica podoski recently prepared and submitted to Guam for Agana SBH O&amp;M repairs and noted significant differences btwn the Hawaii State and USEPA (Guam) offices for 402 and she could better advise on required time.</t>
      </text>
    </comment>
    <comment ref="A25" authorId="4" shapeId="0" xr:uid="{76A1C834-878B-4904-9959-9F415EFC813D}">
      <text>
        <t>[Threaded comment]
Your version of Excel allows you to read this threaded comment; however, any edits to it will get removed if the file is opened in a newer version of Excel. Learn more: https://go.microsoft.com/fwlink/?linkid=870924
Comment:
    Does red text denote an option? I did not hear mention of ocean disposal associated with this action as it appears BSP wants to dredge and beneficially reuse for bank stabilization. In that case, Section 103 would not be applicable. Please advise.</t>
      </text>
    </comment>
    <comment ref="G34" authorId="5" shapeId="0" xr:uid="{A5CFB026-5968-4916-91CB-DB3B1655EDDE}">
      <text>
        <t>[Threaded comment]
Your version of Excel allows you to read this threaded comment; however, any edits to it will get removed if the file is opened in a newer version of Excel. Learn more: https://go.microsoft.com/fwlink/?linkid=870924
Comment:
    Recommend eliminating dqc hours for GHG, EJ and public scoping mtg. These should be accounted for in dqc of the nepa doc</t>
      </text>
    </comment>
    <comment ref="F44" authorId="6" shapeId="0" xr:uid="{E2214FA9-65B1-46FA-AD6B-ECD891E28BBE}">
      <text>
        <t>[Threaded comment]
Your version of Excel allows you to read this threaded comment; however, any edits to it will get removed if the file is opened in a newer version of Excel. Learn more: https://go.microsoft.com/fwlink/?linkid=870924
Comment:
    Added time for routing/transmittal/briefing/coordination for signature</t>
      </text>
    </comment>
  </commentList>
</comments>
</file>

<file path=xl/sharedStrings.xml><?xml version="1.0" encoding="utf-8"?>
<sst xmlns="http://schemas.openxmlformats.org/spreadsheetml/2006/main" count="457" uniqueCount="319">
  <si>
    <t>Design</t>
  </si>
  <si>
    <t>Construction</t>
  </si>
  <si>
    <t>ECT</t>
  </si>
  <si>
    <t>AE Serv</t>
  </si>
  <si>
    <t>Available</t>
  </si>
  <si>
    <t>Totals</t>
  </si>
  <si>
    <t>Contracting</t>
  </si>
  <si>
    <t>S&amp;A @ 11%</t>
  </si>
  <si>
    <t>PM @ 5%</t>
  </si>
  <si>
    <t>Cost</t>
  </si>
  <si>
    <t>Geotech</t>
  </si>
  <si>
    <t>AE</t>
  </si>
  <si>
    <t>Notes</t>
  </si>
  <si>
    <t>Typical</t>
  </si>
  <si>
    <t>Estimate plus assumed post involvement.  May come down with more info.</t>
  </si>
  <si>
    <t>Estimate by professional engineer</t>
  </si>
  <si>
    <t>No fee received, estimate only</t>
  </si>
  <si>
    <t>I think it is safe to say that this will be a high involvement project.</t>
  </si>
  <si>
    <t>Estimate received</t>
  </si>
  <si>
    <t>Guam Southern Flood Mitigation Project</t>
  </si>
  <si>
    <t xml:space="preserve">Estimate received.  No post award fee provided.  </t>
  </si>
  <si>
    <t>Seems a bit high for the anticipated work</t>
  </si>
  <si>
    <t>FONSI – signed by OIA Senior Level Action Proponent</t>
  </si>
  <si>
    <t>Draft 3: OIA / BSP reviews Final Draft EA</t>
  </si>
  <si>
    <t>Prepare final EA / Final DQC</t>
  </si>
  <si>
    <t>Draft 2: Public Review</t>
  </si>
  <si>
    <t>Revise</t>
  </si>
  <si>
    <t>Draft 1: OIA / BSP Draft Review</t>
  </si>
  <si>
    <t>Internal USACE DQC review</t>
  </si>
  <si>
    <t>Write the EA</t>
  </si>
  <si>
    <t>Public Scoping Meeting?</t>
  </si>
  <si>
    <t>Environmental Justice?</t>
  </si>
  <si>
    <t>Greenhouse Gas Emissions?</t>
  </si>
  <si>
    <t>CZMA Federal Consistency Review</t>
  </si>
  <si>
    <t>transmit consultations</t>
  </si>
  <si>
    <r>
      <t xml:space="preserve">Consultation letters signed by </t>
    </r>
    <r>
      <rPr>
        <i/>
        <sz val="10"/>
        <color theme="1"/>
        <rFont val="Arial"/>
        <family val="2"/>
      </rPr>
      <t>who?</t>
    </r>
  </si>
  <si>
    <t>CZMA Federal Consistency Assessment</t>
  </si>
  <si>
    <t>CZMA</t>
  </si>
  <si>
    <t>CWA NPDES Permits</t>
  </si>
  <si>
    <t>CWA Section 404 Permit</t>
  </si>
  <si>
    <t>CWA Section 404(b)(1) analysis</t>
  </si>
  <si>
    <t>MPRSA Section 103 assessment for ocean disposal</t>
  </si>
  <si>
    <t>Rivers and Harbors Act Section 10</t>
  </si>
  <si>
    <t>Dredging &amp; Filling Compliance</t>
  </si>
  <si>
    <t>MSA EFH consultation with NMFS</t>
  </si>
  <si>
    <t>Predecessors: Past, yet still current survey of the area or Current survey results and DOPAA</t>
  </si>
  <si>
    <t>EFH Assessment for NMFS</t>
  </si>
  <si>
    <t>EFH</t>
  </si>
  <si>
    <t>Then Mitigated FONSI with these dates</t>
  </si>
  <si>
    <t>If USFWS or NMFS finds "likely to adversely affect" = Biological Opinion</t>
  </si>
  <si>
    <t>USFWS &amp; NMFS review &amp; concurrence</t>
  </si>
  <si>
    <t>ESA section 7 Biological evaluation for USFWS &amp; NMFS</t>
  </si>
  <si>
    <t>Cultural Resources review w/ SHPD</t>
  </si>
  <si>
    <t>initiate coordination w/ SHPD</t>
  </si>
  <si>
    <t>initate MBTA coordination w/ USFWS</t>
  </si>
  <si>
    <t>initiate ESA coordination w/ USFWS &amp; NMFS</t>
  </si>
  <si>
    <t>ESA Section 7</t>
  </si>
  <si>
    <t>Surveys (FWCA, terrestrial ESA species)</t>
  </si>
  <si>
    <t>Resource Agency Coordination Letters &amp; Meeting</t>
  </si>
  <si>
    <t>4 hours</t>
  </si>
  <si>
    <t>Study kickoff Meeting</t>
  </si>
  <si>
    <t>Contract Coordination Meeting</t>
  </si>
  <si>
    <t>Contract starts (7600A signed)</t>
  </si>
  <si>
    <t>DQC hours</t>
  </si>
  <si>
    <t>Hours</t>
  </si>
  <si>
    <t>BiOp Contingency</t>
  </si>
  <si>
    <t>End</t>
  </si>
  <si>
    <t>Start</t>
  </si>
  <si>
    <t>Days</t>
  </si>
  <si>
    <t>Task</t>
  </si>
  <si>
    <t>Estimated Rate</t>
  </si>
  <si>
    <t>Estimated Hours</t>
  </si>
  <si>
    <t>Estimate</t>
  </si>
  <si>
    <t>Project Manager</t>
  </si>
  <si>
    <t xml:space="preserve">Senior Environmental Planner (DQC Review) </t>
  </si>
  <si>
    <t>Junior Environmental Planner (NEPA)</t>
  </si>
  <si>
    <t>Archaeologist</t>
  </si>
  <si>
    <t>Administrative</t>
  </si>
  <si>
    <t>Contracting (Set Fee)</t>
  </si>
  <si>
    <t>12% Contingency</t>
  </si>
  <si>
    <t>Total In-House &amp; Contracted Labor Estimate</t>
  </si>
  <si>
    <t>$500K</t>
  </si>
  <si>
    <t>PROJECT: Southern Guam Flood Mitigation</t>
  </si>
  <si>
    <t>CEPOA-ENG-M : J4L0GTS</t>
  </si>
  <si>
    <t>Task ID</t>
  </si>
  <si>
    <t>Task Name</t>
  </si>
  <si>
    <t>Junior Engineer</t>
  </si>
  <si>
    <t>Senior Engineer</t>
  </si>
  <si>
    <t>Section Chief</t>
  </si>
  <si>
    <t>Assumptions</t>
  </si>
  <si>
    <t>Grand Total</t>
  </si>
  <si>
    <t>15% Design Concept Development</t>
  </si>
  <si>
    <t>PDT Meetings (bi-weekly for 12 months)</t>
  </si>
  <si>
    <t>Desktop Study for 15% concept</t>
  </si>
  <si>
    <t>15% Design Analysis</t>
  </si>
  <si>
    <t>Prelimenary design analysis to ensure feasibility of proposed concept design and to ensure the AE will have an undestanding of design intentions</t>
  </si>
  <si>
    <t>Geotechnical Design Documentation Report</t>
  </si>
  <si>
    <t>15% design concept to contain mock ups of proposed design</t>
  </si>
  <si>
    <t>Umatac Site Visit</t>
  </si>
  <si>
    <t>Site visit to perform prelimenary geotechnical site investigation and identify site conditions for 15% concept design</t>
  </si>
  <si>
    <t>15% Design Concept Review</t>
  </si>
  <si>
    <t>15% Design Review</t>
  </si>
  <si>
    <t>15% Design Review Conference</t>
  </si>
  <si>
    <t>15% Design DQC</t>
  </si>
  <si>
    <t>A/E RFP to Complete Design</t>
  </si>
  <si>
    <t>RFP Input</t>
  </si>
  <si>
    <t>Contracting Actions</t>
  </si>
  <si>
    <t>Pre-Final Design (90-95%) thru Rev Conf</t>
  </si>
  <si>
    <t>95% Design Review</t>
  </si>
  <si>
    <t>95% Design Review Conference</t>
  </si>
  <si>
    <t>Design Complete (Reviewed 100%)</t>
  </si>
  <si>
    <t>100% Design Review</t>
  </si>
  <si>
    <t>100% Design Review Conference</t>
  </si>
  <si>
    <t>Government Fully Burdened Rates (estimated)</t>
  </si>
  <si>
    <t>Government Subtotals</t>
  </si>
  <si>
    <t>Government Misc. Costs</t>
  </si>
  <si>
    <t>Line Item</t>
  </si>
  <si>
    <t>Value</t>
  </si>
  <si>
    <t>Site Visit - per diem ($283/day) and airfare (2 geotech, 6 days)</t>
  </si>
  <si>
    <t>Preliminary Site Investigation (supplies and soil testing)</t>
  </si>
  <si>
    <t>Rental Car (1 car)</t>
  </si>
  <si>
    <t>Gov Total Cost</t>
  </si>
  <si>
    <t>A/E Contract Estimate</t>
  </si>
  <si>
    <t>Principal Engineer</t>
  </si>
  <si>
    <t>AE Geotechnical Investigation</t>
  </si>
  <si>
    <t>Coordination (Meetings, Working with other disciplines)</t>
  </si>
  <si>
    <t>Field Prep, Permits, and Coordination for Drilling</t>
  </si>
  <si>
    <t>Geotechnical Field Investigation (3 days)</t>
  </si>
  <si>
    <t xml:space="preserve">Geotech Field Investigation to be 3 days long (4-20 ft borings, revetment length unknown at the moment, # of bornings will be scaled with length) w/ two USACE personnel logging. </t>
  </si>
  <si>
    <t>Geotechnical Data Report</t>
  </si>
  <si>
    <t>95% Design + Plans and Specs Development</t>
  </si>
  <si>
    <t>Review 15% Design Concept</t>
  </si>
  <si>
    <t>Geotechnical Analysis for MSE Wall</t>
  </si>
  <si>
    <t>Draft Geotechnical Design Documentation Report</t>
  </si>
  <si>
    <t>Plans and Specs Development and Coordination</t>
  </si>
  <si>
    <t>Final Geotechnical Design Documentation Report</t>
  </si>
  <si>
    <t>AE Fully Burdened Rates (estimated)</t>
  </si>
  <si>
    <t>AE Subtotals</t>
  </si>
  <si>
    <t>AE Misc. Costs</t>
  </si>
  <si>
    <t>ft</t>
  </si>
  <si>
    <t>Drilling Services = (4) 20ft BH</t>
  </si>
  <si>
    <t>Laboratory Testing</t>
  </si>
  <si>
    <t>AE Total Cost</t>
  </si>
  <si>
    <t>Gov + AE Contract Cost</t>
  </si>
  <si>
    <r>
      <t xml:space="preserve">ORG SCOPE OF WORK - </t>
    </r>
    <r>
      <rPr>
        <b/>
        <sz val="12"/>
        <rFont val="Times New Roman"/>
        <family val="1"/>
      </rPr>
      <t>RESOURCE BREAKDOWN</t>
    </r>
  </si>
  <si>
    <t>PROGRAM / STUDY:</t>
  </si>
  <si>
    <t>PROGRAM MANAGER</t>
  </si>
  <si>
    <t>PROJECT NO:</t>
  </si>
  <si>
    <t>FUNDED WI:</t>
  </si>
  <si>
    <t>PROJECT TITLE:</t>
  </si>
  <si>
    <t xml:space="preserve"> </t>
  </si>
  <si>
    <t>PROJECT MANAGER</t>
  </si>
  <si>
    <t>DATE PREPARED:</t>
  </si>
  <si>
    <t>CHIEF / SUPERVISOR:</t>
  </si>
  <si>
    <t>REVIEW/APPROVAL:</t>
  </si>
  <si>
    <t>OFFICE:</t>
  </si>
  <si>
    <t>PM REVIEW/APPROVAL:</t>
  </si>
  <si>
    <t>REVISION NO:</t>
  </si>
  <si>
    <t>ORG CODE:</t>
  </si>
  <si>
    <t>SHORT TASK DESCRIPTION</t>
  </si>
  <si>
    <t>PHASE:</t>
  </si>
  <si>
    <t>FISCAL YR:</t>
  </si>
  <si>
    <t>BUDGET PREPARED BY:</t>
  </si>
  <si>
    <t>Organization Activity Scope:</t>
  </si>
  <si>
    <t xml:space="preserve">Priority Project 1. Umatac River Maintenance and Bank Stabilization </t>
  </si>
  <si>
    <t>Schedule of Activity:</t>
  </si>
  <si>
    <t>Estimated Start</t>
  </si>
  <si>
    <t>Est / Sch Duration (Work Days)</t>
  </si>
  <si>
    <t>Estimated End</t>
  </si>
  <si>
    <t xml:space="preserve">Notes: </t>
  </si>
  <si>
    <t>Budgeted Mandays (calculated)</t>
  </si>
  <si>
    <t>In-house Labor (LABOR):</t>
  </si>
  <si>
    <t>GRADE</t>
  </si>
  <si>
    <t>TITLE</t>
  </si>
  <si>
    <t>HOURS      see next page</t>
  </si>
  <si>
    <t>BURDEN RATE</t>
  </si>
  <si>
    <t>LABOR</t>
  </si>
  <si>
    <t>GS-14 ATR</t>
  </si>
  <si>
    <t>ATR</t>
  </si>
  <si>
    <t># Hours</t>
  </si>
  <si>
    <t>per hour</t>
  </si>
  <si>
    <t>GS-13 LEAD</t>
  </si>
  <si>
    <t>Cost Lead Engineer</t>
  </si>
  <si>
    <t>Senior Cost Engineer</t>
  </si>
  <si>
    <t xml:space="preserve">GS-12 </t>
  </si>
  <si>
    <t xml:space="preserve">GS-11 </t>
  </si>
  <si>
    <t>Cost Engineer</t>
  </si>
  <si>
    <t>GS-09 CADD</t>
  </si>
  <si>
    <t>Technician</t>
  </si>
  <si>
    <t>GS-07</t>
  </si>
  <si>
    <t>Engineering Intern</t>
  </si>
  <si>
    <t>GS-05 GEN</t>
  </si>
  <si>
    <t>Admin Assist</t>
  </si>
  <si>
    <t>Section Chief (supervisor)</t>
  </si>
  <si>
    <t>Total hours</t>
  </si>
  <si>
    <t>Weighted Average Rate per hour</t>
  </si>
  <si>
    <t>Sub-Total</t>
  </si>
  <si>
    <t>In-house Services (SHOP/FACIL):</t>
  </si>
  <si>
    <t>Vehicles</t>
  </si>
  <si>
    <t>(VEHSVCLMO)</t>
  </si>
  <si>
    <t># Days</t>
  </si>
  <si>
    <t>Per Day</t>
  </si>
  <si>
    <t>Other</t>
  </si>
  <si>
    <t># ___</t>
  </si>
  <si>
    <t>LS</t>
  </si>
  <si>
    <t>Travel (TRAVEL):</t>
  </si>
  <si>
    <t>Per Diem</t>
  </si>
  <si>
    <t>Vehicle</t>
  </si>
  <si>
    <t>#Times</t>
  </si>
  <si>
    <t>Each</t>
  </si>
  <si>
    <t>Flight</t>
  </si>
  <si>
    <t>#Trips</t>
  </si>
  <si>
    <t>Per Trip</t>
  </si>
  <si>
    <t>Local Travel</t>
  </si>
  <si>
    <t>Miscellaneous</t>
  </si>
  <si>
    <t>hotel taxes/luggage</t>
  </si>
  <si>
    <t>Technical Writer/Editor (TIP) and Reprographics (PRINTING):</t>
  </si>
  <si>
    <t>Writer/Editor</t>
  </si>
  <si>
    <t>(IT-TIP-GRA)</t>
  </si>
  <si>
    <t>Reprographics</t>
  </si>
  <si>
    <t>(PRINT-DAPS)</t>
  </si>
  <si>
    <t>A/E Contracts (AESVCS)</t>
  </si>
  <si>
    <t>Supply/Service Contracts (CONSTSVCS)</t>
  </si>
  <si>
    <t>Graphic design/CD (IT)</t>
  </si>
  <si>
    <t>MIPR</t>
  </si>
  <si>
    <t>TOTAL ACTIVITY BUDGET</t>
  </si>
  <si>
    <t>WORK ACTIVITY DESCRIPTION</t>
  </si>
  <si>
    <t>TOTALS HOURS</t>
  </si>
  <si>
    <t>Initial Estimate</t>
  </si>
  <si>
    <t>Final Estimate</t>
  </si>
  <si>
    <t>IGE</t>
  </si>
  <si>
    <t>TPCS</t>
  </si>
  <si>
    <t>Step 1 - Southern Guam Flood Mitigation Project (D23AP00124-00)</t>
  </si>
  <si>
    <t>POA Archaeologist</t>
  </si>
  <si>
    <t>Fully Burdened Rate</t>
  </si>
  <si>
    <t>Cultural Resources Support - COST ESTIMATE</t>
  </si>
  <si>
    <t>Laura Stelson</t>
  </si>
  <si>
    <t>Lead: Laura Stelson</t>
  </si>
  <si>
    <t>Tyler Teese</t>
  </si>
  <si>
    <t>Mike Rouse (Chief)</t>
  </si>
  <si>
    <t>Assumptions:</t>
  </si>
  <si>
    <t>No previous archaeological survey in project area</t>
  </si>
  <si>
    <t>Archaeological investigations will be carried out by archaeologists</t>
  </si>
  <si>
    <t>Determination of potential adverse effect to properties; agreement document is required</t>
  </si>
  <si>
    <t>Bi-weekly meeting participation will be required for duration of project phase</t>
  </si>
  <si>
    <t>Travel &amp; Per Diem</t>
  </si>
  <si>
    <t xml:space="preserve">Contracts &amp; Miscellaneous </t>
  </si>
  <si>
    <t>Labor Hours</t>
  </si>
  <si>
    <t>Labor Days</t>
  </si>
  <si>
    <t>Milestone Total</t>
  </si>
  <si>
    <t>Item</t>
  </si>
  <si>
    <t>Day</t>
  </si>
  <si>
    <t>Max Rate</t>
  </si>
  <si>
    <t>/Unit</t>
  </si>
  <si>
    <t>1. GHPO Request for Assistance &amp; Literature Review</t>
  </si>
  <si>
    <t>Total</t>
  </si>
  <si>
    <t>/day</t>
  </si>
  <si>
    <t>GPS Rental</t>
  </si>
  <si>
    <t>Archaeologist Lead</t>
  </si>
  <si>
    <t>Airfare</t>
  </si>
  <si>
    <t>/trip</t>
  </si>
  <si>
    <t>Miscillaneous supplies</t>
  </si>
  <si>
    <t>Archaeologist Support</t>
  </si>
  <si>
    <t>Vehicle Rental</t>
  </si>
  <si>
    <t>Baggage fees</t>
  </si>
  <si>
    <t>Gas</t>
  </si>
  <si>
    <t>2. Section 106 Notification Letter (Identify APE)</t>
  </si>
  <si>
    <t>Chief Review</t>
  </si>
  <si>
    <t>3. Draft research design</t>
  </si>
  <si>
    <t>4. Archaeological Survey</t>
  </si>
  <si>
    <t>5. Photolog</t>
  </si>
  <si>
    <t>6. ArcGIS Geodatabase</t>
  </si>
  <si>
    <t>7. Draft Survey Report</t>
  </si>
  <si>
    <t>8. Section 106 Assessment Letter (Finding of Effect)</t>
  </si>
  <si>
    <t>9. Section 106 Agreement Document (MOA/PA)</t>
  </si>
  <si>
    <t>10. Meetings</t>
  </si>
  <si>
    <t xml:space="preserve">Chief </t>
  </si>
  <si>
    <t>LABOR TOTAL</t>
  </si>
  <si>
    <t>TOTAL TRAVEL &amp; PER DIEM</t>
  </si>
  <si>
    <t>TOTAL CONTRACTS &amp; MISC.</t>
  </si>
  <si>
    <t>TOTAL COST</t>
  </si>
  <si>
    <t>Step 7 - Southern Guam Flood Mitigation Project (D23AP00124-00)</t>
  </si>
  <si>
    <t>1. Contract review &amp; additions</t>
  </si>
  <si>
    <t>Chief review</t>
  </si>
  <si>
    <t>2. Meetings</t>
  </si>
  <si>
    <t>Chief</t>
  </si>
  <si>
    <t>Step 79b- Southern Guam Flood Mitigation Project (D23AP00124-00)</t>
  </si>
  <si>
    <t>Archaeological Monitoring</t>
  </si>
  <si>
    <t xml:space="preserve">Assumptions: </t>
  </si>
  <si>
    <t>1. Assume 6 weeks of on site monitoring during stream bank stabilization</t>
  </si>
  <si>
    <t>2. Construction will occur 8 hours per day</t>
  </si>
  <si>
    <t>3. Archaeological monitor will work 10-hour shifts (8 hours at construction site, 2 hours for safety meetings, paperwork, etc.)</t>
  </si>
  <si>
    <t>4. Archaeological monitor will stay at local hotel and have per diem</t>
  </si>
  <si>
    <t>5. Assume 2 days travel to and from Guam; 44 days on island</t>
  </si>
  <si>
    <t>Monitoring Plan</t>
  </si>
  <si>
    <t>Cost/Hour</t>
  </si>
  <si>
    <t>Hour Estimate</t>
  </si>
  <si>
    <t xml:space="preserve">Contractor Archaeologist </t>
  </si>
  <si>
    <t>Contractor PM Review</t>
  </si>
  <si>
    <t>Task Total:</t>
  </si>
  <si>
    <t>Monitoring Labor</t>
  </si>
  <si>
    <t>Hour/ Day Estimate</t>
  </si>
  <si>
    <t xml:space="preserve">Per Diem </t>
  </si>
  <si>
    <t>Flight (HNL - GUM)</t>
  </si>
  <si>
    <t>-</t>
  </si>
  <si>
    <t>Monitoring Report</t>
  </si>
  <si>
    <t>Contractor Admin Profit (10% of total cost)</t>
  </si>
  <si>
    <t>Total Cost</t>
  </si>
  <si>
    <t xml:space="preserve"> % Increase </t>
  </si>
  <si>
    <t>USACE Archaeologist Review</t>
  </si>
  <si>
    <t>SOW Development</t>
  </si>
  <si>
    <t>Contract Support</t>
  </si>
  <si>
    <t>TOTAL COST:</t>
  </si>
  <si>
    <t>AE Contract 35% - Final</t>
  </si>
  <si>
    <t>Cultural</t>
  </si>
  <si>
    <t xml:space="preserve">Environmental </t>
  </si>
  <si>
    <t>Engineering 35% P&amp;S (In-hse)</t>
  </si>
  <si>
    <t>10% of ECC.  Assumes POH does all Enviro/Cultural coordination and documentation.</t>
  </si>
  <si>
    <t>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</si>
</sst>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quot;#,##0_);\(&quot;$&quot;#,##0\)"/>
    <numFmt numFmtId="165" formatCode="&quot;$&quot;#,##0_);[Red]\(&quot;$&quot;#,##0\)"/>
    <numFmt numFmtId="166" formatCode="&quot;$&quot;#,##0.00_);\(&quot;$&quot;#,##0.00\)"/>
    <numFmt numFmtId="167" formatCode="&quot;$&quot;#,##0.00_);[Red]\(&quot;$&quot;#,##0.00\)"/>
    <numFmt numFmtId="168" formatCode="_(&quot;$&quot;* #,##0.00_);_(&quot;$&quot;* \(#,##0.00\);_(&quot;$&quot;* &quot;-&quot;??_);_(@_)"/>
    <numFmt numFmtId="169" formatCode="_(&quot;$&quot;* #,##0_);_(&quot;$&quot;* \(#,##0\);_(&quot;$&quot;* &quot;-&quot;??_);_(@_)"/>
    <numFmt numFmtId="170" formatCode="[$-409]d\-mmm\-yy;@"/>
    <numFmt numFmtId="171" formatCode="dd\-mmm\-yyyy"/>
    <numFmt numFmtId="172" formatCode="&quot;$&quot;#,##0"/>
    <numFmt numFmtId="173" formatCode="0.00_)"/>
    <numFmt numFmtId="174" formatCode="0_)"/>
    <numFmt numFmtId="175" formatCode="&quot;$&quot;#,##0.00"/>
  </numFmts>
  <fonts count="5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9"/>
      <name val="Calibri"/>
      <family val="2"/>
      <scheme val="minor"/>
    </font>
    <font>
      <i/>
      <sz val="11"/>
      <color theme="1"/>
      <name val="Calibri"/>
      <family val="2"/>
      <scheme val="minor"/>
    </font>
    <font>
      <sz val="11"/>
      <name val="Calibri"/>
      <family val="2"/>
      <scheme val="minor"/>
    </font>
    <font>
      <b/>
      <i/>
      <sz val="10"/>
      <color rgb="FFFF0000"/>
      <name val="Arial"/>
      <family val="2"/>
    </font>
    <font>
      <sz val="10"/>
      <color theme="1"/>
      <name val="Arial"/>
      <family val="2"/>
    </font>
    <font>
      <sz val="10"/>
      <color rgb="FF000000"/>
      <name val="Arial"/>
      <family val="2"/>
    </font>
    <font>
      <b/>
      <i/>
      <sz val="10"/>
      <color theme="1"/>
      <name val="Arial"/>
      <family val="2"/>
    </font>
    <font>
      <b/>
      <i/>
      <sz val="10"/>
      <color rgb="FF000000"/>
      <name val="Arial"/>
      <family val="2"/>
    </font>
    <font>
      <sz val="10"/>
      <name val="Arial"/>
      <family val="2"/>
    </font>
    <font>
      <i/>
      <sz val="10"/>
      <color theme="1"/>
      <name val="Arial"/>
      <family val="2"/>
    </font>
    <font>
      <b/>
      <i/>
      <sz val="11"/>
      <color rgb="FFFF0000"/>
      <name val="Calibri"/>
      <family val="2"/>
      <scheme val="minor"/>
    </font>
    <font>
      <b/>
      <sz val="12"/>
      <color theme="1"/>
      <name val="Times New Roman"/>
      <family val="1"/>
    </font>
    <font>
      <sz val="12"/>
      <color theme="1"/>
      <name val="Times New Roman"/>
      <family val="1"/>
    </font>
    <font>
      <b/>
      <sz val="14"/>
      <color theme="1"/>
      <name val="Calibri"/>
      <family val="2"/>
      <scheme val="minor"/>
    </font>
    <font>
      <b/>
      <sz val="12"/>
      <color rgb="FF000000"/>
      <name val="Arial"/>
      <family val="2"/>
    </font>
    <font>
      <b/>
      <sz val="14"/>
      <color rgb="FF000000"/>
      <name val="Arial"/>
      <family val="2"/>
    </font>
    <font>
      <b/>
      <sz val="16"/>
      <name val="Times New Roman"/>
      <family val="1"/>
    </font>
    <font>
      <b/>
      <sz val="12"/>
      <name val="Times New Roman"/>
      <family val="1"/>
    </font>
    <font>
      <b/>
      <sz val="12"/>
      <color indexed="10"/>
      <name val="Times New Roman"/>
      <family val="1"/>
    </font>
    <font>
      <sz val="10"/>
      <name val="Times New Roman"/>
      <family val="1"/>
    </font>
    <font>
      <sz val="6"/>
      <name val="Times New Roman"/>
      <family val="1"/>
    </font>
    <font>
      <b/>
      <sz val="6"/>
      <name val="Times New Roman"/>
      <family val="1"/>
    </font>
    <font>
      <b/>
      <sz val="10"/>
      <color indexed="10"/>
      <name val="Times New Roman"/>
      <family val="1"/>
    </font>
    <font>
      <i/>
      <sz val="6"/>
      <name val="Times New Roman"/>
      <family val="1"/>
    </font>
    <font>
      <b/>
      <sz val="6"/>
      <color indexed="12"/>
      <name val="Times New Roman"/>
      <family val="1"/>
    </font>
    <font>
      <b/>
      <sz val="10"/>
      <color indexed="12"/>
      <name val="Times New Roman"/>
      <family val="1"/>
    </font>
    <font>
      <b/>
      <sz val="10"/>
      <name val="Times New Roman"/>
      <family val="1"/>
    </font>
    <font>
      <b/>
      <sz val="10"/>
      <color indexed="8"/>
      <name val="Times New Roman"/>
      <family val="1"/>
    </font>
    <font>
      <sz val="8"/>
      <name val="Times New Roman"/>
      <family val="1"/>
    </font>
    <font>
      <sz val="10"/>
      <color indexed="12"/>
      <name val="Times New Roman"/>
      <family val="1"/>
    </font>
    <font>
      <sz val="10"/>
      <color indexed="10"/>
      <name val="Times New Roman"/>
      <family val="1"/>
    </font>
    <font>
      <sz val="10"/>
      <color indexed="8"/>
      <name val="Times New Roman"/>
      <family val="1"/>
    </font>
    <font>
      <u/>
      <sz val="8"/>
      <name val="Arial"/>
      <family val="2"/>
    </font>
    <font>
      <b/>
      <sz val="8"/>
      <name val="Times New Roman"/>
      <family val="1"/>
    </font>
    <font>
      <b/>
      <sz val="8"/>
      <color indexed="10"/>
      <name val="Times New Roman"/>
      <family val="1"/>
    </font>
    <font>
      <sz val="12"/>
      <name val="Times New Roman"/>
      <family val="1"/>
    </font>
    <font>
      <b/>
      <i/>
      <sz val="12"/>
      <name val="Times New Roman"/>
      <family val="1"/>
    </font>
    <font>
      <sz val="11"/>
      <color theme="4" tint="-0.249977111117893"/>
      <name val="Calibri"/>
      <family val="2"/>
      <scheme val="minor"/>
    </font>
    <font>
      <sz val="11"/>
      <color indexed="8"/>
      <name val="Calibri"/>
      <family val="2"/>
    </font>
    <font>
      <b/>
      <i/>
      <sz val="12"/>
      <color theme="1"/>
      <name val="Times New Roman"/>
      <family val="1"/>
    </font>
    <font>
      <i/>
      <sz val="12"/>
      <name val="Times New Roman"/>
      <family val="1"/>
    </font>
    <font>
      <i/>
      <sz val="12"/>
      <color theme="1"/>
      <name val="Times New Roman"/>
      <family val="1"/>
    </font>
    <font>
      <sz val="12"/>
      <color indexed="12"/>
      <name val="Times New Roman"/>
      <family val="1"/>
    </font>
    <font>
      <sz val="12"/>
      <color indexed="20"/>
      <name val="Times New Roman"/>
      <family val="1"/>
    </font>
    <font>
      <sz val="12"/>
      <color rgb="FF800080"/>
      <name val="Times New Roman"/>
      <family val="1"/>
    </font>
    <font>
      <b/>
      <sz val="12"/>
      <color indexed="20"/>
      <name val="Times New Roman"/>
      <family val="1"/>
    </font>
    <font>
      <b/>
      <sz val="12"/>
      <color rgb="FF800080"/>
      <name val="Times New Roman"/>
      <family val="1"/>
    </font>
    <font>
      <b/>
      <i/>
      <sz val="11"/>
      <color theme="1"/>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indexed="22"/>
        <bgColor indexed="64"/>
      </patternFill>
    </fill>
    <fill>
      <patternFill patternType="solid">
        <fgColor rgb="FFFFFFCC"/>
      </patternFill>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medium">
        <color indexed="64"/>
      </top>
      <bottom style="medium">
        <color indexed="64"/>
      </bottom>
      <diagonal/>
    </border>
    <border>
      <left/>
      <right/>
      <top/>
      <bottom style="thin">
        <color indexed="12"/>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
      <left/>
      <right/>
      <top/>
      <bottom style="hair">
        <color indexed="64"/>
      </bottom>
      <diagonal/>
    </border>
    <border>
      <left/>
      <right/>
      <top style="thin">
        <color indexed="64"/>
      </top>
      <bottom style="medium">
        <color indexed="64"/>
      </bottom>
      <diagonal/>
    </border>
  </borders>
  <cellStyleXfs count="10">
    <xf numFmtId="0" fontId="0" fillId="0" borderId="0"/>
    <xf numFmtId="168" fontId="1" fillId="0" borderId="0" applyFont="0" applyFill="0" applyBorder="0" applyAlignment="0" applyProtection="0"/>
    <xf numFmtId="170" fontId="1" fillId="0" borderId="0"/>
    <xf numFmtId="0" fontId="1" fillId="0" borderId="0"/>
    <xf numFmtId="0" fontId="12" fillId="0" borderId="0"/>
    <xf numFmtId="0" fontId="12" fillId="0" borderId="0"/>
    <xf numFmtId="168" fontId="12" fillId="0" borderId="0" applyFont="0" applyFill="0" applyBorder="0" applyAlignment="0" applyProtection="0"/>
    <xf numFmtId="9" fontId="12" fillId="0" borderId="0" applyFont="0" applyFill="0" applyBorder="0" applyAlignment="0" applyProtection="0"/>
    <xf numFmtId="0" fontId="1" fillId="5" borderId="88" applyNumberFormat="0" applyFont="0" applyAlignment="0" applyProtection="0"/>
    <xf numFmtId="168" fontId="42" fillId="0" borderId="0" applyFont="0" applyFill="0" applyBorder="0" applyAlignment="0" applyProtection="0"/>
  </cellStyleXfs>
  <cellXfs count="566">
    <xf numFmtId="0" fontId="0" fillId="0" borderId="0" xfId="0"/>
    <xf numFmtId="0" fontId="3" fillId="0" borderId="0" xfId="0" applyFont="1"/>
    <xf numFmtId="169" fontId="0" fillId="0" borderId="0" xfId="1" applyNumberFormat="1" applyFont="1"/>
    <xf numFmtId="0" fontId="6" fillId="2" borderId="0" xfId="0" applyFont="1" applyFill="1"/>
    <xf numFmtId="0" fontId="0" fillId="2" borderId="0" xfId="0" applyFill="1"/>
    <xf numFmtId="170" fontId="1" fillId="0" borderId="0" xfId="2"/>
    <xf numFmtId="168" fontId="0" fillId="0" borderId="0" xfId="1" applyFont="1"/>
    <xf numFmtId="1" fontId="1" fillId="0" borderId="0" xfId="2" applyNumberFormat="1"/>
    <xf numFmtId="0" fontId="1" fillId="0" borderId="0" xfId="3"/>
    <xf numFmtId="0" fontId="7" fillId="0" borderId="0" xfId="3" applyFont="1"/>
    <xf numFmtId="0" fontId="8" fillId="0" borderId="0" xfId="3" applyFont="1"/>
    <xf numFmtId="1" fontId="8" fillId="0" borderId="0" xfId="3" applyNumberFormat="1" applyFont="1" applyAlignment="1">
      <alignment horizontal="center" vertical="center"/>
    </xf>
    <xf numFmtId="1" fontId="8" fillId="0" borderId="0" xfId="3" applyNumberFormat="1" applyFont="1" applyAlignment="1">
      <alignment horizontal="center" vertical="center" wrapText="1"/>
    </xf>
    <xf numFmtId="0" fontId="8" fillId="0" borderId="0" xfId="3" applyFont="1" applyAlignment="1">
      <alignment vertical="center" wrapText="1"/>
    </xf>
    <xf numFmtId="14" fontId="7" fillId="0" borderId="1" xfId="3" applyNumberFormat="1" applyFont="1" applyBorder="1"/>
    <xf numFmtId="14" fontId="8" fillId="0" borderId="1" xfId="3" applyNumberFormat="1" applyFont="1" applyBorder="1"/>
    <xf numFmtId="14" fontId="8" fillId="0" borderId="1" xfId="3" applyNumberFormat="1" applyFont="1" applyBorder="1" applyAlignment="1">
      <alignment vertical="center"/>
    </xf>
    <xf numFmtId="0" fontId="8" fillId="0" borderId="1" xfId="3" applyFont="1" applyBorder="1" applyAlignment="1">
      <alignment horizontal="center" vertical="center" wrapText="1"/>
    </xf>
    <xf numFmtId="0" fontId="8" fillId="0" borderId="1" xfId="3" applyFont="1" applyBorder="1" applyAlignment="1">
      <alignment vertical="center" wrapText="1"/>
    </xf>
    <xf numFmtId="0" fontId="9" fillId="0" borderId="1" xfId="3" applyFont="1" applyBorder="1" applyAlignment="1">
      <alignment horizontal="center" vertical="center" wrapText="1"/>
    </xf>
    <xf numFmtId="0" fontId="9" fillId="0" borderId="1" xfId="3" applyFont="1" applyBorder="1" applyAlignment="1">
      <alignment vertical="center" wrapText="1"/>
    </xf>
    <xf numFmtId="14" fontId="7" fillId="0" borderId="0" xfId="3" applyNumberFormat="1" applyFont="1"/>
    <xf numFmtId="14" fontId="8" fillId="0" borderId="0" xfId="3" applyNumberFormat="1" applyFont="1"/>
    <xf numFmtId="0" fontId="10" fillId="0" borderId="0" xfId="3" applyFont="1" applyAlignment="1">
      <alignment horizontal="right" wrapText="1"/>
    </xf>
    <xf numFmtId="0" fontId="7" fillId="0" borderId="1" xfId="3" applyFont="1" applyBorder="1"/>
    <xf numFmtId="1" fontId="8" fillId="0" borderId="1" xfId="3" applyNumberFormat="1" applyFont="1" applyBorder="1" applyAlignment="1">
      <alignment horizontal="center" vertical="center" wrapText="1"/>
    </xf>
    <xf numFmtId="0" fontId="10" fillId="0" borderId="1" xfId="3" applyFont="1" applyBorder="1" applyAlignment="1">
      <alignment horizontal="right" wrapText="1"/>
    </xf>
    <xf numFmtId="0" fontId="11" fillId="0" borderId="1" xfId="3" applyFont="1" applyBorder="1" applyAlignment="1">
      <alignment horizontal="right" wrapText="1"/>
    </xf>
    <xf numFmtId="0" fontId="9" fillId="0" borderId="1" xfId="3" applyFont="1" applyBorder="1" applyAlignment="1">
      <alignment horizontal="right" wrapText="1"/>
    </xf>
    <xf numFmtId="170" fontId="6" fillId="0" borderId="0" xfId="2" applyFont="1"/>
    <xf numFmtId="168" fontId="6" fillId="0" borderId="0" xfId="1" applyFont="1"/>
    <xf numFmtId="14" fontId="12" fillId="0" borderId="1" xfId="3" applyNumberFormat="1" applyFont="1" applyBorder="1"/>
    <xf numFmtId="1" fontId="12" fillId="0" borderId="1" xfId="3" applyNumberFormat="1" applyFont="1" applyBorder="1" applyAlignment="1">
      <alignment horizontal="center" vertical="center" wrapText="1"/>
    </xf>
    <xf numFmtId="0" fontId="8" fillId="0" borderId="1" xfId="3" applyFont="1" applyBorder="1" applyAlignment="1">
      <alignment horizontal="right" wrapText="1"/>
    </xf>
    <xf numFmtId="0" fontId="12" fillId="0" borderId="1" xfId="3" applyFont="1" applyBorder="1" applyAlignment="1">
      <alignment wrapText="1"/>
    </xf>
    <xf numFmtId="0" fontId="12" fillId="0" borderId="1" xfId="3" applyFont="1" applyBorder="1" applyAlignment="1">
      <alignment horizontal="right" wrapText="1"/>
    </xf>
    <xf numFmtId="170" fontId="14" fillId="0" borderId="0" xfId="2" applyFont="1"/>
    <xf numFmtId="168" fontId="14" fillId="0" borderId="0" xfId="1" applyFont="1"/>
    <xf numFmtId="1" fontId="14" fillId="0" borderId="0" xfId="2" applyNumberFormat="1" applyFont="1"/>
    <xf numFmtId="0" fontId="14" fillId="0" borderId="0" xfId="3" applyFont="1"/>
    <xf numFmtId="1" fontId="7" fillId="0" borderId="1" xfId="3" applyNumberFormat="1" applyFont="1" applyBorder="1" applyAlignment="1">
      <alignment horizontal="center" vertical="center" wrapText="1"/>
    </xf>
    <xf numFmtId="0" fontId="7" fillId="0" borderId="1" xfId="3" applyFont="1" applyBorder="1" applyAlignment="1">
      <alignment horizontal="right" wrapText="1"/>
    </xf>
    <xf numFmtId="0" fontId="12" fillId="0" borderId="1" xfId="3" applyFont="1" applyBorder="1" applyAlignment="1">
      <alignment horizontal="left" wrapText="1"/>
    </xf>
    <xf numFmtId="15" fontId="8" fillId="0" borderId="1" xfId="3" applyNumberFormat="1" applyFont="1" applyBorder="1"/>
    <xf numFmtId="0" fontId="1" fillId="0" borderId="2" xfId="3" applyBorder="1" applyAlignment="1">
      <alignment horizontal="center" vertical="center" wrapText="1"/>
    </xf>
    <xf numFmtId="1" fontId="8" fillId="0" borderId="3" xfId="3" applyNumberFormat="1" applyFont="1" applyBorder="1" applyAlignment="1">
      <alignment horizontal="center" vertical="center" wrapText="1"/>
    </xf>
    <xf numFmtId="165" fontId="0" fillId="0" borderId="0" xfId="1" applyNumberFormat="1" applyFont="1"/>
    <xf numFmtId="0" fontId="7" fillId="0" borderId="1" xfId="3" applyFont="1" applyBorder="1" applyAlignment="1">
      <alignment vertical="center" wrapText="1"/>
    </xf>
    <xf numFmtId="15" fontId="8" fillId="0" borderId="1" xfId="3" applyNumberFormat="1" applyFont="1" applyBorder="1" applyAlignment="1">
      <alignment vertical="center"/>
    </xf>
    <xf numFmtId="15" fontId="9" fillId="0" borderId="1" xfId="3" applyNumberFormat="1" applyFont="1" applyBorder="1" applyAlignment="1">
      <alignment vertical="center"/>
    </xf>
    <xf numFmtId="1" fontId="8" fillId="0" borderId="1" xfId="3" applyNumberFormat="1" applyFont="1" applyBorder="1" applyAlignment="1">
      <alignment horizontal="center" vertical="center"/>
    </xf>
    <xf numFmtId="0" fontId="8" fillId="0" borderId="4" xfId="3" applyFont="1" applyBorder="1"/>
    <xf numFmtId="1" fontId="8" fillId="0" borderId="5" xfId="3" applyNumberFormat="1" applyFont="1" applyBorder="1"/>
    <xf numFmtId="0" fontId="8" fillId="0" borderId="5" xfId="3" applyFont="1" applyBorder="1"/>
    <xf numFmtId="0" fontId="8" fillId="0" borderId="1" xfId="3" applyFont="1" applyBorder="1"/>
    <xf numFmtId="170" fontId="15" fillId="0" borderId="6" xfId="2" applyFont="1" applyBorder="1" applyAlignment="1">
      <alignment vertical="center" wrapText="1"/>
    </xf>
    <xf numFmtId="168" fontId="15" fillId="0" borderId="7" xfId="1" applyFont="1" applyBorder="1" applyAlignment="1">
      <alignment horizontal="center" vertical="center" wrapText="1"/>
    </xf>
    <xf numFmtId="1" fontId="15" fillId="0" borderId="7" xfId="2" applyNumberFormat="1" applyFont="1" applyBorder="1" applyAlignment="1">
      <alignment horizontal="center" vertical="center" wrapText="1"/>
    </xf>
    <xf numFmtId="170" fontId="15" fillId="0" borderId="8" xfId="2" applyFont="1" applyBorder="1" applyAlignment="1">
      <alignment vertical="center" wrapText="1"/>
    </xf>
    <xf numFmtId="168" fontId="16" fillId="0" borderId="9" xfId="1" applyFont="1" applyBorder="1" applyAlignment="1">
      <alignment horizontal="right" vertical="center" wrapText="1"/>
    </xf>
    <xf numFmtId="1" fontId="16" fillId="0" borderId="9" xfId="2" applyNumberFormat="1" applyFont="1" applyBorder="1" applyAlignment="1">
      <alignment horizontal="right" vertical="center" wrapText="1"/>
    </xf>
    <xf numFmtId="169" fontId="16" fillId="0" borderId="9" xfId="1" applyNumberFormat="1" applyFont="1" applyBorder="1" applyAlignment="1">
      <alignment horizontal="right" vertical="center" wrapText="1"/>
    </xf>
    <xf numFmtId="0" fontId="17" fillId="0" borderId="0" xfId="0" applyFont="1" applyAlignment="1">
      <alignment horizontal="left"/>
    </xf>
    <xf numFmtId="0" fontId="3" fillId="0" borderId="12" xfId="0" applyFont="1" applyBorder="1" applyAlignment="1">
      <alignment horizontal="center"/>
    </xf>
    <xf numFmtId="0" fontId="3" fillId="0" borderId="13" xfId="0" applyFont="1" applyBorder="1"/>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5" xfId="0" applyFont="1" applyBorder="1"/>
    <xf numFmtId="0" fontId="3" fillId="0" borderId="5" xfId="0" applyFont="1" applyBorder="1" applyAlignment="1">
      <alignment horizontal="center"/>
    </xf>
    <xf numFmtId="0" fontId="3" fillId="0" borderId="16" xfId="0" applyFont="1" applyBorder="1" applyAlignment="1">
      <alignment horizontal="center"/>
    </xf>
    <xf numFmtId="0" fontId="3" fillId="0" borderId="0" xfId="0" applyFont="1" applyAlignment="1">
      <alignment horizontal="center"/>
    </xf>
    <xf numFmtId="0" fontId="0" fillId="0" borderId="17" xfId="0" applyBorder="1" applyAlignment="1">
      <alignment horizontal="center"/>
    </xf>
    <xf numFmtId="0" fontId="0" fillId="0" borderId="2" xfId="0" applyBorder="1"/>
    <xf numFmtId="0" fontId="0" fillId="0" borderId="2"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0" fillId="0" borderId="19" xfId="0" applyBorder="1" applyAlignment="1">
      <alignment horizontal="center"/>
    </xf>
    <xf numFmtId="0" fontId="0" fillId="0" borderId="1" xfId="0" applyBorder="1"/>
    <xf numFmtId="0" fontId="0" fillId="0" borderId="1"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3" xfId="0" applyBorder="1"/>
    <xf numFmtId="0" fontId="0" fillId="0" borderId="3" xfId="0" applyBorder="1" applyAlignment="1">
      <alignment horizontal="center"/>
    </xf>
    <xf numFmtId="0" fontId="0" fillId="0" borderId="22" xfId="0" applyBorder="1" applyAlignment="1">
      <alignment horizontal="center"/>
    </xf>
    <xf numFmtId="0" fontId="0" fillId="0" borderId="0" xfId="0" applyAlignment="1">
      <alignment horizontal="left"/>
    </xf>
    <xf numFmtId="0" fontId="0" fillId="0" borderId="15" xfId="0" applyBorder="1" applyAlignment="1">
      <alignment horizontal="center"/>
    </xf>
    <xf numFmtId="0" fontId="0" fillId="0" borderId="5" xfId="0" applyBorder="1"/>
    <xf numFmtId="0" fontId="0" fillId="0" borderId="5" xfId="0" applyBorder="1" applyAlignment="1">
      <alignment horizontal="center"/>
    </xf>
    <xf numFmtId="0" fontId="0" fillId="0" borderId="16" xfId="0" applyBorder="1" applyAlignment="1">
      <alignment horizontal="center"/>
    </xf>
    <xf numFmtId="0" fontId="0" fillId="0" borderId="23" xfId="0" applyBorder="1" applyAlignment="1">
      <alignment horizontal="center"/>
    </xf>
    <xf numFmtId="0" fontId="0" fillId="0" borderId="24" xfId="0" applyBorder="1"/>
    <xf numFmtId="0" fontId="0" fillId="0" borderId="24" xfId="0" applyBorder="1" applyAlignment="1">
      <alignment horizontal="center"/>
    </xf>
    <xf numFmtId="0" fontId="0" fillId="0" borderId="25" xfId="0" applyBorder="1" applyAlignment="1">
      <alignment horizontal="center"/>
    </xf>
    <xf numFmtId="0" fontId="0" fillId="0" borderId="26" xfId="0" applyBorder="1"/>
    <xf numFmtId="168" fontId="0" fillId="0" borderId="27" xfId="1" applyFont="1" applyBorder="1" applyAlignment="1">
      <alignment horizontal="center"/>
    </xf>
    <xf numFmtId="168" fontId="0" fillId="0" borderId="28" xfId="1" applyFont="1" applyBorder="1" applyAlignment="1">
      <alignment horizontal="center"/>
    </xf>
    <xf numFmtId="168" fontId="0" fillId="0" borderId="29" xfId="1" applyFont="1" applyBorder="1" applyAlignment="1">
      <alignment horizontal="center"/>
    </xf>
    <xf numFmtId="0" fontId="0" fillId="0" borderId="30" xfId="0" applyBorder="1"/>
    <xf numFmtId="168" fontId="0" fillId="0" borderId="23" xfId="1" applyFont="1" applyBorder="1" applyAlignment="1">
      <alignment horizontal="center"/>
    </xf>
    <xf numFmtId="168" fontId="0" fillId="0" borderId="24" xfId="1" applyFont="1" applyBorder="1" applyAlignment="1">
      <alignment horizontal="center"/>
    </xf>
    <xf numFmtId="168" fontId="0" fillId="0" borderId="25" xfId="1" applyFont="1" applyBorder="1" applyAlignment="1">
      <alignment horizontal="center"/>
    </xf>
    <xf numFmtId="168" fontId="0" fillId="0" borderId="6" xfId="1" applyFont="1" applyBorder="1" applyAlignment="1">
      <alignment horizontal="center"/>
    </xf>
    <xf numFmtId="0" fontId="0" fillId="0" borderId="0" xfId="0" quotePrefix="1" applyAlignment="1">
      <alignment horizontal="left"/>
    </xf>
    <xf numFmtId="0" fontId="3" fillId="0" borderId="0" xfId="0" applyFont="1" applyAlignment="1">
      <alignment horizontal="left"/>
    </xf>
    <xf numFmtId="0" fontId="3" fillId="0" borderId="26" xfId="0" applyFont="1" applyBorder="1"/>
    <xf numFmtId="0" fontId="3" fillId="0" borderId="31" xfId="0" applyFont="1" applyBorder="1"/>
    <xf numFmtId="0" fontId="0" fillId="0" borderId="32" xfId="0" applyBorder="1" applyAlignment="1">
      <alignment wrapText="1"/>
    </xf>
    <xf numFmtId="169" fontId="0" fillId="0" borderId="33" xfId="1" applyNumberFormat="1" applyFont="1" applyBorder="1"/>
    <xf numFmtId="0" fontId="0" fillId="0" borderId="32" xfId="0" applyBorder="1"/>
    <xf numFmtId="169" fontId="0" fillId="0" borderId="34" xfId="1" applyNumberFormat="1" applyFont="1" applyBorder="1"/>
    <xf numFmtId="0" fontId="3" fillId="2" borderId="12" xfId="0" applyFont="1" applyFill="1" applyBorder="1" applyAlignment="1">
      <alignment horizontal="center"/>
    </xf>
    <xf numFmtId="168" fontId="0" fillId="2" borderId="14" xfId="0" applyNumberFormat="1" applyFill="1" applyBorder="1" applyAlignment="1">
      <alignment horizontal="center"/>
    </xf>
    <xf numFmtId="168" fontId="0" fillId="0" borderId="35" xfId="1" applyFont="1" applyFill="1" applyBorder="1" applyAlignment="1">
      <alignment horizontal="center"/>
    </xf>
    <xf numFmtId="168" fontId="0" fillId="0" borderId="28" xfId="1" applyFont="1" applyFill="1" applyBorder="1" applyAlignment="1">
      <alignment horizontal="center"/>
    </xf>
    <xf numFmtId="168" fontId="0" fillId="0" borderId="29" xfId="1" applyFont="1" applyFill="1" applyBorder="1" applyAlignment="1">
      <alignment horizontal="center"/>
    </xf>
    <xf numFmtId="168" fontId="0" fillId="0" borderId="36" xfId="0" applyNumberFormat="1" applyBorder="1"/>
    <xf numFmtId="168" fontId="0" fillId="0" borderId="24" xfId="0" applyNumberFormat="1" applyBorder="1"/>
    <xf numFmtId="168" fontId="0" fillId="0" borderId="25" xfId="0" applyNumberFormat="1" applyBorder="1"/>
    <xf numFmtId="168" fontId="0" fillId="0" borderId="6" xfId="0" applyNumberFormat="1" applyBorder="1"/>
    <xf numFmtId="0" fontId="3" fillId="0" borderId="1" xfId="0" applyFont="1" applyBorder="1"/>
    <xf numFmtId="169" fontId="0" fillId="0" borderId="1" xfId="1" applyNumberFormat="1" applyFont="1" applyBorder="1"/>
    <xf numFmtId="0" fontId="3" fillId="2" borderId="10" xfId="0" applyFont="1" applyFill="1" applyBorder="1"/>
    <xf numFmtId="169" fontId="0" fillId="0" borderId="0" xfId="0" applyNumberFormat="1"/>
    <xf numFmtId="0" fontId="20" fillId="4" borderId="37" xfId="4" applyFont="1" applyFill="1" applyBorder="1"/>
    <xf numFmtId="0" fontId="20" fillId="4" borderId="38" xfId="4" applyFont="1" applyFill="1" applyBorder="1"/>
    <xf numFmtId="0" fontId="23" fillId="0" borderId="0" xfId="4" applyFont="1" applyProtection="1">
      <protection locked="0"/>
    </xf>
    <xf numFmtId="0" fontId="24" fillId="0" borderId="42" xfId="4" applyFont="1" applyBorder="1" applyAlignment="1">
      <alignment horizontal="left"/>
    </xf>
    <xf numFmtId="0" fontId="25" fillId="0" borderId="43" xfId="4" applyFont="1" applyBorder="1" applyAlignment="1">
      <alignment horizontal="left"/>
    </xf>
    <xf numFmtId="0" fontId="24" fillId="0" borderId="43" xfId="4" applyFont="1" applyBorder="1" applyAlignment="1">
      <alignment horizontal="left"/>
    </xf>
    <xf numFmtId="0" fontId="24" fillId="0" borderId="44" xfId="4" applyFont="1" applyBorder="1" applyAlignment="1">
      <alignment horizontal="left"/>
    </xf>
    <xf numFmtId="0" fontId="24" fillId="0" borderId="45" xfId="4" applyFont="1" applyBorder="1" applyProtection="1">
      <protection locked="0"/>
    </xf>
    <xf numFmtId="0" fontId="24" fillId="0" borderId="43" xfId="4" applyFont="1" applyBorder="1" applyProtection="1">
      <protection locked="0"/>
    </xf>
    <xf numFmtId="0" fontId="24" fillId="0" borderId="44" xfId="4" applyFont="1" applyBorder="1" applyProtection="1">
      <protection locked="0"/>
    </xf>
    <xf numFmtId="0" fontId="24" fillId="0" borderId="45" xfId="4" applyFont="1" applyBorder="1" applyAlignment="1">
      <alignment horizontal="left"/>
    </xf>
    <xf numFmtId="0" fontId="24" fillId="0" borderId="46" xfId="4" applyFont="1" applyBorder="1" applyProtection="1">
      <protection locked="0"/>
    </xf>
    <xf numFmtId="0" fontId="24" fillId="0" borderId="0" xfId="4" applyFont="1" applyProtection="1">
      <protection locked="0"/>
    </xf>
    <xf numFmtId="0" fontId="26" fillId="0" borderId="0" xfId="4" applyFont="1" applyProtection="1">
      <protection locked="0"/>
    </xf>
    <xf numFmtId="0" fontId="24" fillId="0" borderId="46" xfId="4" applyFont="1" applyBorder="1" applyAlignment="1">
      <alignment horizontal="left"/>
    </xf>
    <xf numFmtId="0" fontId="24" fillId="0" borderId="43" xfId="4" applyFont="1" applyBorder="1"/>
    <xf numFmtId="0" fontId="27" fillId="0" borderId="43" xfId="4" applyFont="1" applyBorder="1" applyProtection="1">
      <protection locked="0"/>
    </xf>
    <xf numFmtId="0" fontId="27" fillId="0" borderId="44" xfId="4" applyFont="1" applyBorder="1" applyProtection="1">
      <protection locked="0"/>
    </xf>
    <xf numFmtId="0" fontId="24" fillId="0" borderId="44" xfId="4" applyFont="1" applyBorder="1"/>
    <xf numFmtId="0" fontId="27" fillId="0" borderId="0" xfId="4" applyFont="1" applyProtection="1">
      <protection locked="0"/>
    </xf>
    <xf numFmtId="0" fontId="27" fillId="0" borderId="44" xfId="4" applyFont="1" applyBorder="1" applyAlignment="1">
      <alignment horizontal="left"/>
    </xf>
    <xf numFmtId="0" fontId="24" fillId="0" borderId="4" xfId="4" applyFont="1" applyBorder="1" applyAlignment="1">
      <alignment horizontal="left"/>
    </xf>
    <xf numFmtId="0" fontId="24" fillId="0" borderId="45" xfId="4" applyFont="1" applyBorder="1"/>
    <xf numFmtId="0" fontId="27" fillId="0" borderId="46" xfId="4" applyFont="1" applyBorder="1" applyProtection="1">
      <protection locked="0"/>
    </xf>
    <xf numFmtId="0" fontId="24" fillId="0" borderId="58" xfId="5" applyFont="1" applyBorder="1" applyAlignment="1">
      <alignment horizontal="left" vertical="center"/>
    </xf>
    <xf numFmtId="0" fontId="24" fillId="0" borderId="59" xfId="5" applyFont="1" applyBorder="1" applyAlignment="1">
      <alignment horizontal="left" vertical="center"/>
    </xf>
    <xf numFmtId="0" fontId="24" fillId="0" borderId="60" xfId="5" applyFont="1" applyBorder="1" applyAlignment="1">
      <alignment horizontal="left" vertical="center"/>
    </xf>
    <xf numFmtId="0" fontId="24" fillId="0" borderId="59" xfId="5" applyFont="1" applyBorder="1" applyAlignment="1" applyProtection="1">
      <alignment horizontal="left" vertical="center"/>
      <protection locked="0"/>
    </xf>
    <xf numFmtId="0" fontId="28" fillId="0" borderId="61" xfId="5" applyFont="1" applyBorder="1" applyAlignment="1">
      <alignment horizontal="left" vertical="center"/>
    </xf>
    <xf numFmtId="0" fontId="24" fillId="0" borderId="0" xfId="5" applyFont="1" applyAlignment="1">
      <alignment horizontal="left" vertical="center"/>
    </xf>
    <xf numFmtId="0" fontId="24" fillId="0" borderId="0" xfId="5" applyFont="1" applyAlignment="1" applyProtection="1">
      <alignment horizontal="left" vertical="center"/>
      <protection locked="0"/>
    </xf>
    <xf numFmtId="0" fontId="29" fillId="0" borderId="63" xfId="5" applyFont="1" applyBorder="1" applyAlignment="1" applyProtection="1">
      <alignment horizontal="left" vertical="center"/>
      <protection locked="0"/>
    </xf>
    <xf numFmtId="0" fontId="29" fillId="0" borderId="63" xfId="5" applyFont="1" applyBorder="1" applyAlignment="1" applyProtection="1">
      <alignment horizontal="center" vertical="center"/>
      <protection locked="0"/>
    </xf>
    <xf numFmtId="0" fontId="30" fillId="0" borderId="55" xfId="5" applyFont="1" applyBorder="1" applyProtection="1">
      <protection locked="0"/>
    </xf>
    <xf numFmtId="0" fontId="26" fillId="0" borderId="55" xfId="5" applyFont="1" applyBorder="1" applyAlignment="1" applyProtection="1">
      <alignment vertical="center"/>
      <protection locked="0"/>
    </xf>
    <xf numFmtId="0" fontId="26" fillId="0" borderId="57" xfId="5" applyFont="1" applyBorder="1" applyAlignment="1" applyProtection="1">
      <alignment vertical="center"/>
      <protection locked="0"/>
    </xf>
    <xf numFmtId="0" fontId="30" fillId="0" borderId="0" xfId="5" applyFont="1"/>
    <xf numFmtId="0" fontId="30" fillId="0" borderId="0" xfId="5" applyFont="1" applyProtection="1">
      <protection locked="0"/>
    </xf>
    <xf numFmtId="0" fontId="31" fillId="0" borderId="52" xfId="5" applyFont="1" applyBorder="1" applyAlignment="1" applyProtection="1">
      <alignment horizontal="left" vertical="center"/>
      <protection locked="0"/>
    </xf>
    <xf numFmtId="0" fontId="29" fillId="0" borderId="0" xfId="5" applyFont="1" applyAlignment="1" applyProtection="1">
      <alignment horizontal="left" vertical="center"/>
      <protection locked="0"/>
    </xf>
    <xf numFmtId="0" fontId="29" fillId="0" borderId="64" xfId="5" applyFont="1" applyBorder="1" applyAlignment="1" applyProtection="1">
      <alignment horizontal="left" vertical="center"/>
      <protection locked="0"/>
    </xf>
    <xf numFmtId="0" fontId="23" fillId="0" borderId="0" xfId="5" applyFont="1"/>
    <xf numFmtId="0" fontId="23" fillId="0" borderId="0" xfId="5" applyFont="1" applyProtection="1">
      <protection locked="0"/>
    </xf>
    <xf numFmtId="0" fontId="32" fillId="0" borderId="0" xfId="5" applyFont="1"/>
    <xf numFmtId="0" fontId="32" fillId="0" borderId="0" xfId="5" applyFont="1" applyProtection="1">
      <protection locked="0"/>
    </xf>
    <xf numFmtId="0" fontId="29" fillId="0" borderId="52" xfId="5" applyFont="1" applyBorder="1" applyAlignment="1" applyProtection="1">
      <alignment horizontal="left" vertical="center"/>
      <protection locked="0"/>
    </xf>
    <xf numFmtId="0" fontId="29" fillId="0" borderId="62" xfId="5" applyFont="1" applyBorder="1" applyAlignment="1" applyProtection="1">
      <alignment horizontal="left" vertical="center"/>
      <protection locked="0"/>
    </xf>
    <xf numFmtId="0" fontId="29" fillId="0" borderId="55" xfId="5" applyFont="1" applyBorder="1" applyAlignment="1" applyProtection="1">
      <alignment horizontal="left" vertical="center"/>
      <protection locked="0"/>
    </xf>
    <xf numFmtId="0" fontId="29" fillId="0" borderId="57" xfId="5" applyFont="1" applyBorder="1" applyAlignment="1" applyProtection="1">
      <alignment horizontal="left" vertical="center"/>
      <protection locked="0"/>
    </xf>
    <xf numFmtId="0" fontId="30" fillId="0" borderId="52" xfId="5" applyFont="1" applyBorder="1" applyAlignment="1" applyProtection="1">
      <alignment horizontal="left" vertical="center"/>
      <protection locked="0"/>
    </xf>
    <xf numFmtId="0" fontId="33" fillId="0" borderId="0" xfId="5" applyFont="1" applyAlignment="1" applyProtection="1">
      <alignment horizontal="left" vertical="center"/>
      <protection locked="0"/>
    </xf>
    <xf numFmtId="1" fontId="33" fillId="0" borderId="1" xfId="5" applyNumberFormat="1" applyFont="1" applyBorder="1" applyAlignment="1" applyProtection="1">
      <alignment horizontal="center"/>
      <protection locked="0"/>
    </xf>
    <xf numFmtId="0" fontId="34" fillId="0" borderId="0" xfId="5" applyFont="1" applyAlignment="1" applyProtection="1">
      <alignment horizontal="left" vertical="center"/>
      <protection locked="0"/>
    </xf>
    <xf numFmtId="0" fontId="34" fillId="0" borderId="64" xfId="5" applyFont="1" applyBorder="1" applyProtection="1">
      <protection locked="0"/>
    </xf>
    <xf numFmtId="0" fontId="23" fillId="0" borderId="43" xfId="5" applyFont="1" applyBorder="1" applyProtection="1">
      <protection locked="0"/>
    </xf>
    <xf numFmtId="170" fontId="33" fillId="0" borderId="0" xfId="5" applyNumberFormat="1" applyFont="1" applyAlignment="1" applyProtection="1">
      <alignment horizontal="center" vertical="center"/>
      <protection locked="0"/>
    </xf>
    <xf numFmtId="1" fontId="34" fillId="0" borderId="1" xfId="5" applyNumberFormat="1" applyFont="1" applyBorder="1" applyAlignment="1" applyProtection="1">
      <alignment horizontal="center"/>
      <protection locked="0"/>
    </xf>
    <xf numFmtId="0" fontId="34" fillId="0" borderId="0" xfId="5" applyFont="1" applyProtection="1">
      <protection locked="0"/>
    </xf>
    <xf numFmtId="170" fontId="34" fillId="0" borderId="0" xfId="5" applyNumberFormat="1" applyFont="1" applyAlignment="1" applyProtection="1">
      <alignment horizontal="center" vertical="center"/>
      <protection locked="0"/>
    </xf>
    <xf numFmtId="0" fontId="35" fillId="0" borderId="64" xfId="5" applyFont="1" applyBorder="1" applyAlignment="1" applyProtection="1">
      <alignment horizontal="left" vertical="center"/>
      <protection locked="0"/>
    </xf>
    <xf numFmtId="1" fontId="34" fillId="0" borderId="0" xfId="5" applyNumberFormat="1" applyFont="1" applyAlignment="1" applyProtection="1">
      <alignment horizontal="center"/>
      <protection locked="0"/>
    </xf>
    <xf numFmtId="0" fontId="30" fillId="0" borderId="52" xfId="5" applyFont="1" applyBorder="1"/>
    <xf numFmtId="0" fontId="23" fillId="0" borderId="0" xfId="5" applyFont="1" applyAlignment="1">
      <alignment horizontal="center"/>
    </xf>
    <xf numFmtId="0" fontId="32" fillId="0" borderId="0" xfId="5" applyFont="1" applyAlignment="1">
      <alignment horizontal="center"/>
    </xf>
    <xf numFmtId="0" fontId="23" fillId="0" borderId="59" xfId="5" applyFont="1" applyBorder="1"/>
    <xf numFmtId="0" fontId="23" fillId="0" borderId="64" xfId="5" applyFont="1" applyBorder="1"/>
    <xf numFmtId="0" fontId="25" fillId="0" borderId="52" xfId="5" applyFont="1" applyBorder="1"/>
    <xf numFmtId="0" fontId="24" fillId="0" borderId="0" xfId="5" applyFont="1" applyAlignment="1">
      <alignment horizontal="left" vertical="center" wrapText="1"/>
    </xf>
    <xf numFmtId="0" fontId="24" fillId="0" borderId="0" xfId="5" applyFont="1"/>
    <xf numFmtId="0" fontId="24" fillId="0" borderId="64" xfId="5" applyFont="1" applyBorder="1"/>
    <xf numFmtId="0" fontId="24" fillId="0" borderId="0" xfId="5" applyFont="1" applyProtection="1">
      <protection locked="0"/>
    </xf>
    <xf numFmtId="0" fontId="28" fillId="0" borderId="52" xfId="5" applyFont="1" applyBorder="1"/>
    <xf numFmtId="0" fontId="24" fillId="0" borderId="0" xfId="5" applyFont="1" applyAlignment="1" applyProtection="1">
      <alignment horizontal="left" vertical="center" wrapText="1"/>
      <protection locked="0"/>
    </xf>
    <xf numFmtId="0" fontId="24" fillId="0" borderId="0" xfId="5" applyFont="1" applyAlignment="1">
      <alignment horizontal="center"/>
    </xf>
    <xf numFmtId="0" fontId="24" fillId="0" borderId="64" xfId="5" applyFont="1" applyBorder="1" applyProtection="1">
      <protection locked="0"/>
    </xf>
    <xf numFmtId="0" fontId="29" fillId="0" borderId="52" xfId="5" applyFont="1" applyBorder="1"/>
    <xf numFmtId="1" fontId="34" fillId="0" borderId="2" xfId="5" applyNumberFormat="1" applyFont="1" applyBorder="1" applyAlignment="1">
      <alignment horizontal="center"/>
    </xf>
    <xf numFmtId="166" fontId="33" fillId="0" borderId="1" xfId="5" applyNumberFormat="1" applyFont="1" applyBorder="1" applyAlignment="1" applyProtection="1">
      <alignment horizontal="right"/>
      <protection locked="0"/>
    </xf>
    <xf numFmtId="166" fontId="23" fillId="0" borderId="0" xfId="5" applyNumberFormat="1" applyFont="1" applyAlignment="1" applyProtection="1">
      <alignment horizontal="left"/>
      <protection locked="0"/>
    </xf>
    <xf numFmtId="172" fontId="34" fillId="0" borderId="1" xfId="6" applyNumberFormat="1" applyFont="1" applyBorder="1" applyAlignment="1" applyProtection="1"/>
    <xf numFmtId="172" fontId="34" fillId="0" borderId="0" xfId="6" applyNumberFormat="1" applyFont="1" applyBorder="1" applyAlignment="1" applyProtection="1"/>
    <xf numFmtId="0" fontId="23" fillId="0" borderId="64" xfId="5" applyFont="1" applyBorder="1" applyProtection="1">
      <protection locked="0"/>
    </xf>
    <xf numFmtId="1" fontId="34" fillId="0" borderId="1" xfId="5" applyNumberFormat="1" applyFont="1" applyBorder="1" applyAlignment="1">
      <alignment horizontal="center"/>
    </xf>
    <xf numFmtId="0" fontId="23" fillId="0" borderId="52" xfId="5" applyFont="1" applyBorder="1" applyAlignment="1">
      <alignment horizontal="left"/>
    </xf>
    <xf numFmtId="0" fontId="32" fillId="0" borderId="52" xfId="5" applyFont="1" applyBorder="1"/>
    <xf numFmtId="0" fontId="23" fillId="0" borderId="65" xfId="5" applyFont="1" applyBorder="1"/>
    <xf numFmtId="0" fontId="23" fillId="0" borderId="67" xfId="5" applyFont="1" applyBorder="1"/>
    <xf numFmtId="0" fontId="23" fillId="0" borderId="67" xfId="5" applyFont="1" applyBorder="1" applyAlignment="1">
      <alignment horizontal="center"/>
    </xf>
    <xf numFmtId="0" fontId="23" fillId="0" borderId="66" xfId="5" applyFont="1" applyBorder="1"/>
    <xf numFmtId="9" fontId="33" fillId="0" borderId="66" xfId="7" applyFont="1" applyBorder="1" applyAlignment="1" applyProtection="1">
      <alignment horizontal="center"/>
    </xf>
    <xf numFmtId="0" fontId="23" fillId="0" borderId="0" xfId="5" applyFont="1" applyAlignment="1">
      <alignment horizontal="right"/>
    </xf>
    <xf numFmtId="0" fontId="23" fillId="0" borderId="0" xfId="5" applyFont="1" applyAlignment="1" applyProtection="1">
      <alignment horizontal="right"/>
      <protection locked="0"/>
    </xf>
    <xf numFmtId="172" fontId="34" fillId="0" borderId="0" xfId="6" applyNumberFormat="1" applyFont="1" applyBorder="1" applyAlignment="1" applyProtection="1">
      <alignment horizontal="right"/>
    </xf>
    <xf numFmtId="172" fontId="34" fillId="0" borderId="6" xfId="5" applyNumberFormat="1" applyFont="1" applyBorder="1" applyAlignment="1">
      <alignment horizontal="right"/>
    </xf>
    <xf numFmtId="0" fontId="30" fillId="0" borderId="0" xfId="5" applyFont="1" applyAlignment="1">
      <alignment horizontal="left" indent="3"/>
    </xf>
    <xf numFmtId="0" fontId="30" fillId="0" borderId="0" xfId="5" applyFont="1" applyAlignment="1">
      <alignment horizontal="right"/>
    </xf>
    <xf numFmtId="0" fontId="23" fillId="0" borderId="64" xfId="5" applyFont="1" applyBorder="1" applyAlignment="1" applyProtection="1">
      <alignment horizontal="right"/>
      <protection locked="0"/>
    </xf>
    <xf numFmtId="0" fontId="23" fillId="0" borderId="52" xfId="5" applyFont="1" applyBorder="1"/>
    <xf numFmtId="0" fontId="23" fillId="0" borderId="0" xfId="5" applyFont="1" applyAlignment="1">
      <alignment horizontal="left"/>
    </xf>
    <xf numFmtId="0" fontId="33" fillId="0" borderId="1" xfId="5" applyFont="1" applyBorder="1" applyAlignment="1" applyProtection="1">
      <alignment horizontal="center"/>
      <protection locked="0"/>
    </xf>
    <xf numFmtId="172" fontId="33" fillId="0" borderId="1" xfId="5" applyNumberFormat="1" applyFont="1" applyBorder="1" applyAlignment="1">
      <alignment horizontal="right"/>
    </xf>
    <xf numFmtId="164" fontId="34" fillId="0" borderId="1" xfId="5" applyNumberFormat="1" applyFont="1" applyBorder="1" applyAlignment="1">
      <alignment horizontal="right"/>
    </xf>
    <xf numFmtId="0" fontId="23" fillId="0" borderId="0" xfId="5" applyFont="1" applyAlignment="1" applyProtection="1">
      <alignment horizontal="left"/>
      <protection locked="0"/>
    </xf>
    <xf numFmtId="172" fontId="30" fillId="0" borderId="0" xfId="5" applyNumberFormat="1" applyFont="1" applyAlignment="1">
      <alignment horizontal="right"/>
    </xf>
    <xf numFmtId="0" fontId="36" fillId="0" borderId="0" xfId="4" applyFont="1" applyAlignment="1">
      <alignment horizontal="left" wrapText="1"/>
    </xf>
    <xf numFmtId="172" fontId="23" fillId="0" borderId="0" xfId="5" applyNumberFormat="1" applyFont="1" applyAlignment="1">
      <alignment horizontal="right"/>
    </xf>
    <xf numFmtId="0" fontId="34" fillId="0" borderId="0" xfId="5" applyFont="1" applyAlignment="1">
      <alignment horizontal="right"/>
    </xf>
    <xf numFmtId="0" fontId="32" fillId="0" borderId="0" xfId="5" applyFont="1" applyAlignment="1">
      <alignment horizontal="right"/>
    </xf>
    <xf numFmtId="0" fontId="32" fillId="0" borderId="64" xfId="5" applyFont="1" applyBorder="1" applyAlignment="1" applyProtection="1">
      <alignment horizontal="right"/>
      <protection locked="0"/>
    </xf>
    <xf numFmtId="0" fontId="33" fillId="0" borderId="1" xfId="5" applyFont="1" applyBorder="1" applyAlignment="1" applyProtection="1">
      <alignment horizontal="right"/>
      <protection locked="0"/>
    </xf>
    <xf numFmtId="0" fontId="35" fillId="0" borderId="0" xfId="5" applyFont="1" applyAlignment="1" applyProtection="1">
      <alignment horizontal="left"/>
      <protection locked="0"/>
    </xf>
    <xf numFmtId="172" fontId="33" fillId="0" borderId="1" xfId="5" applyNumberFormat="1" applyFont="1" applyBorder="1" applyAlignment="1" applyProtection="1">
      <alignment horizontal="right"/>
      <protection locked="0"/>
    </xf>
    <xf numFmtId="164" fontId="23" fillId="0" borderId="0" xfId="5" applyNumberFormat="1" applyFont="1" applyAlignment="1">
      <alignment horizontal="center"/>
    </xf>
    <xf numFmtId="0" fontId="33" fillId="0" borderId="0" xfId="5" applyFont="1" applyAlignment="1" applyProtection="1">
      <alignment horizontal="center"/>
      <protection locked="0"/>
    </xf>
    <xf numFmtId="0" fontId="37" fillId="0" borderId="0" xfId="5" applyFont="1" applyAlignment="1">
      <alignment horizontal="right"/>
    </xf>
    <xf numFmtId="0" fontId="37" fillId="0" borderId="0" xfId="5" applyFont="1" applyAlignment="1">
      <alignment horizontal="left" indent="3"/>
    </xf>
    <xf numFmtId="164" fontId="32" fillId="0" borderId="0" xfId="5" applyNumberFormat="1" applyFont="1" applyAlignment="1">
      <alignment horizontal="center"/>
    </xf>
    <xf numFmtId="164" fontId="38" fillId="0" borderId="0" xfId="5" applyNumberFormat="1" applyFont="1" applyAlignment="1">
      <alignment horizontal="right"/>
    </xf>
    <xf numFmtId="0" fontId="33" fillId="0" borderId="69" xfId="5" applyFont="1" applyBorder="1"/>
    <xf numFmtId="0" fontId="30" fillId="0" borderId="62" xfId="5" applyFont="1" applyBorder="1"/>
    <xf numFmtId="0" fontId="23" fillId="0" borderId="0" xfId="5" applyFont="1" applyAlignment="1" applyProtection="1">
      <alignment horizontal="center"/>
      <protection locked="0"/>
    </xf>
    <xf numFmtId="164" fontId="26" fillId="0" borderId="64" xfId="5" applyNumberFormat="1" applyFont="1" applyBorder="1" applyAlignment="1">
      <alignment horizontal="right"/>
    </xf>
    <xf numFmtId="0" fontId="32" fillId="4" borderId="70" xfId="5" applyFont="1" applyFill="1" applyBorder="1"/>
    <xf numFmtId="0" fontId="32" fillId="4" borderId="71" xfId="5" applyFont="1" applyFill="1" applyBorder="1"/>
    <xf numFmtId="0" fontId="32" fillId="4" borderId="71" xfId="5" applyFont="1" applyFill="1" applyBorder="1" applyAlignment="1">
      <alignment horizontal="right"/>
    </xf>
    <xf numFmtId="0" fontId="32" fillId="4" borderId="78" xfId="5" applyFont="1" applyFill="1" applyBorder="1"/>
    <xf numFmtId="0" fontId="32" fillId="4" borderId="79" xfId="5" applyFont="1" applyFill="1" applyBorder="1"/>
    <xf numFmtId="1" fontId="26" fillId="0" borderId="13" xfId="5" applyNumberFormat="1" applyFont="1" applyBorder="1" applyAlignment="1">
      <alignment horizontal="center"/>
    </xf>
    <xf numFmtId="1" fontId="26" fillId="0" borderId="80" xfId="5" applyNumberFormat="1" applyFont="1" applyBorder="1" applyAlignment="1">
      <alignment horizontal="center"/>
    </xf>
    <xf numFmtId="0" fontId="33" fillId="0" borderId="27" xfId="5" applyFont="1" applyBorder="1" applyAlignment="1" applyProtection="1">
      <alignment horizontal="center"/>
      <protection locked="0"/>
    </xf>
    <xf numFmtId="0" fontId="33" fillId="0" borderId="2" xfId="5" applyFont="1" applyBorder="1" applyAlignment="1" applyProtection="1">
      <alignment horizontal="center"/>
      <protection locked="0"/>
    </xf>
    <xf numFmtId="0" fontId="33" fillId="0" borderId="76" xfId="5" applyFont="1" applyBorder="1" applyAlignment="1" applyProtection="1">
      <alignment horizontal="center"/>
      <protection locked="0"/>
    </xf>
    <xf numFmtId="0" fontId="33" fillId="0" borderId="19" xfId="5" applyFont="1" applyBorder="1" applyAlignment="1" applyProtection="1">
      <alignment horizontal="center"/>
      <protection locked="0"/>
    </xf>
    <xf numFmtId="0" fontId="33" fillId="0" borderId="84" xfId="5" applyFont="1" applyBorder="1" applyAlignment="1" applyProtection="1">
      <alignment horizontal="center"/>
      <protection locked="0"/>
    </xf>
    <xf numFmtId="0" fontId="29" fillId="0" borderId="19" xfId="5" applyFont="1" applyBorder="1" applyAlignment="1" applyProtection="1">
      <alignment horizontal="center"/>
      <protection locked="0"/>
    </xf>
    <xf numFmtId="0" fontId="29" fillId="0" borderId="1" xfId="5" applyFont="1" applyBorder="1" applyAlignment="1" applyProtection="1">
      <alignment horizontal="center"/>
      <protection locked="0"/>
    </xf>
    <xf numFmtId="0" fontId="29" fillId="0" borderId="84" xfId="5" applyFont="1" applyBorder="1" applyAlignment="1" applyProtection="1">
      <alignment horizontal="center"/>
      <protection locked="0"/>
    </xf>
    <xf numFmtId="0" fontId="37" fillId="0" borderId="0" xfId="5" applyFont="1"/>
    <xf numFmtId="0" fontId="37" fillId="0" borderId="0" xfId="5" applyFont="1" applyProtection="1">
      <protection locked="0"/>
    </xf>
    <xf numFmtId="0" fontId="33" fillId="0" borderId="83" xfId="5" applyFont="1" applyBorder="1" applyAlignment="1" applyProtection="1">
      <alignment horizontal="left" indent="1"/>
      <protection locked="0"/>
    </xf>
    <xf numFmtId="0" fontId="33" fillId="0" borderId="67" xfId="5" applyFont="1" applyBorder="1" applyAlignment="1" applyProtection="1">
      <alignment horizontal="left" indent="1"/>
      <protection locked="0"/>
    </xf>
    <xf numFmtId="0" fontId="33" fillId="0" borderId="21" xfId="5" applyFont="1" applyBorder="1" applyAlignment="1" applyProtection="1">
      <alignment horizontal="center"/>
      <protection locked="0"/>
    </xf>
    <xf numFmtId="0" fontId="33" fillId="0" borderId="3" xfId="5" applyFont="1" applyBorder="1" applyAlignment="1" applyProtection="1">
      <alignment horizontal="center"/>
      <protection locked="0"/>
    </xf>
    <xf numFmtId="0" fontId="33" fillId="0" borderId="77" xfId="5" applyFont="1" applyBorder="1" applyAlignment="1" applyProtection="1">
      <alignment horizontal="center"/>
      <protection locked="0"/>
    </xf>
    <xf numFmtId="1" fontId="34" fillId="4" borderId="85" xfId="5" applyNumberFormat="1" applyFont="1" applyFill="1" applyBorder="1" applyAlignment="1" applyProtection="1">
      <alignment horizontal="center"/>
      <protection locked="0"/>
    </xf>
    <xf numFmtId="1" fontId="34" fillId="4" borderId="86" xfId="5" applyNumberFormat="1" applyFont="1" applyFill="1" applyBorder="1" applyAlignment="1" applyProtection="1">
      <alignment horizontal="center"/>
      <protection locked="0"/>
    </xf>
    <xf numFmtId="0" fontId="34" fillId="4" borderId="86" xfId="5" applyFont="1" applyFill="1" applyBorder="1" applyAlignment="1" applyProtection="1">
      <alignment horizontal="center"/>
      <protection locked="0"/>
    </xf>
    <xf numFmtId="0" fontId="34" fillId="4" borderId="87" xfId="5" applyFont="1" applyFill="1" applyBorder="1" applyAlignment="1" applyProtection="1">
      <alignment horizontal="center"/>
      <protection locked="0"/>
    </xf>
    <xf numFmtId="0" fontId="12" fillId="0" borderId="0" xfId="4"/>
    <xf numFmtId="0" fontId="15" fillId="0" borderId="0" xfId="0" applyFont="1"/>
    <xf numFmtId="15" fontId="16" fillId="0" borderId="0" xfId="0" applyNumberFormat="1" applyFont="1"/>
    <xf numFmtId="2" fontId="16" fillId="0" borderId="0" xfId="0" applyNumberFormat="1" applyFont="1"/>
    <xf numFmtId="0" fontId="15" fillId="0" borderId="0" xfId="0" applyFont="1" applyAlignment="1">
      <alignment horizontal="center"/>
    </xf>
    <xf numFmtId="168" fontId="15" fillId="0" borderId="0" xfId="0" applyNumberFormat="1" applyFont="1"/>
    <xf numFmtId="0" fontId="16" fillId="0" borderId="0" xfId="0" applyFont="1"/>
    <xf numFmtId="173" fontId="39" fillId="0" borderId="0" xfId="0" applyNumberFormat="1" applyFont="1"/>
    <xf numFmtId="173" fontId="40" fillId="0" borderId="0" xfId="0" applyNumberFormat="1" applyFont="1" applyAlignment="1">
      <alignment horizontal="right"/>
    </xf>
    <xf numFmtId="2" fontId="40" fillId="0" borderId="0" xfId="0" applyNumberFormat="1" applyFont="1" applyAlignment="1">
      <alignment horizontal="right"/>
    </xf>
    <xf numFmtId="0" fontId="16" fillId="0" borderId="0" xfId="0" applyFont="1" applyAlignment="1">
      <alignment horizontal="right"/>
    </xf>
    <xf numFmtId="166" fontId="41" fillId="0" borderId="0" xfId="0" applyNumberFormat="1" applyFont="1"/>
    <xf numFmtId="166" fontId="39" fillId="0" borderId="0" xfId="9" applyNumberFormat="1" applyFont="1" applyBorder="1" applyAlignment="1">
      <alignment horizontal="right"/>
    </xf>
    <xf numFmtId="173" fontId="40" fillId="0" borderId="0" xfId="0" applyNumberFormat="1" applyFont="1" applyAlignment="1">
      <alignment horizontal="left"/>
    </xf>
    <xf numFmtId="173" fontId="39" fillId="0" borderId="0" xfId="0" applyNumberFormat="1" applyFont="1" applyAlignment="1">
      <alignment horizontal="left"/>
    </xf>
    <xf numFmtId="166" fontId="40" fillId="0" borderId="55" xfId="9" applyNumberFormat="1" applyFont="1" applyBorder="1" applyAlignment="1">
      <alignment horizontal="right"/>
    </xf>
    <xf numFmtId="2" fontId="40" fillId="0" borderId="55" xfId="9" applyNumberFormat="1" applyFont="1" applyBorder="1" applyAlignment="1">
      <alignment horizontal="right"/>
    </xf>
    <xf numFmtId="0" fontId="16" fillId="0" borderId="55" xfId="0" applyFont="1" applyBorder="1"/>
    <xf numFmtId="168" fontId="16" fillId="0" borderId="0" xfId="0" applyNumberFormat="1" applyFont="1"/>
    <xf numFmtId="0" fontId="43" fillId="0" borderId="55" xfId="0" applyFont="1" applyBorder="1"/>
    <xf numFmtId="173" fontId="40" fillId="0" borderId="89" xfId="0" applyNumberFormat="1" applyFont="1" applyBorder="1" applyAlignment="1">
      <alignment horizontal="left"/>
    </xf>
    <xf numFmtId="173" fontId="44" fillId="0" borderId="89" xfId="0" applyNumberFormat="1" applyFont="1" applyBorder="1" applyAlignment="1">
      <alignment horizontal="right"/>
    </xf>
    <xf numFmtId="2" fontId="44" fillId="0" borderId="89" xfId="0" applyNumberFormat="1" applyFont="1" applyBorder="1" applyAlignment="1">
      <alignment horizontal="right"/>
    </xf>
    <xf numFmtId="166" fontId="44" fillId="0" borderId="89" xfId="9" applyNumberFormat="1" applyFont="1" applyBorder="1" applyAlignment="1">
      <alignment horizontal="right"/>
    </xf>
    <xf numFmtId="0" fontId="45" fillId="0" borderId="0" xfId="0" applyFont="1" applyAlignment="1">
      <alignment horizontal="right"/>
    </xf>
    <xf numFmtId="168" fontId="15" fillId="0" borderId="0" xfId="0" applyNumberFormat="1" applyFont="1" applyAlignment="1">
      <alignment horizontal="center"/>
    </xf>
    <xf numFmtId="173" fontId="44" fillId="6" borderId="89" xfId="0" applyNumberFormat="1" applyFont="1" applyFill="1" applyBorder="1" applyAlignment="1">
      <alignment horizontal="left" indent="2"/>
    </xf>
    <xf numFmtId="174" fontId="45" fillId="6" borderId="0" xfId="0" applyNumberFormat="1" applyFont="1" applyFill="1" applyAlignment="1" applyProtection="1">
      <alignment horizontal="left"/>
      <protection locked="0"/>
    </xf>
    <xf numFmtId="166" fontId="44" fillId="6" borderId="89" xfId="9" applyNumberFormat="1" applyFont="1" applyFill="1" applyBorder="1" applyAlignment="1">
      <alignment horizontal="right"/>
    </xf>
    <xf numFmtId="173" fontId="44" fillId="6" borderId="89" xfId="0" applyNumberFormat="1" applyFont="1" applyFill="1" applyBorder="1" applyAlignment="1">
      <alignment horizontal="left"/>
    </xf>
    <xf numFmtId="166" fontId="44" fillId="6" borderId="89" xfId="9" applyNumberFormat="1" applyFont="1" applyFill="1" applyBorder="1" applyAlignment="1" applyProtection="1">
      <alignment horizontal="right"/>
    </xf>
    <xf numFmtId="0" fontId="16" fillId="6" borderId="0" xfId="0" applyFont="1" applyFill="1"/>
    <xf numFmtId="0" fontId="45" fillId="6" borderId="0" xfId="0" applyFont="1" applyFill="1" applyAlignment="1">
      <alignment horizontal="right"/>
    </xf>
    <xf numFmtId="0" fontId="45" fillId="6" borderId="0" xfId="0" applyFont="1" applyFill="1"/>
    <xf numFmtId="173" fontId="21" fillId="7" borderId="0" xfId="0" applyNumberFormat="1" applyFont="1" applyFill="1"/>
    <xf numFmtId="174" fontId="16" fillId="7" borderId="0" xfId="0" applyNumberFormat="1" applyFont="1" applyFill="1" applyAlignment="1">
      <alignment horizontal="right"/>
    </xf>
    <xf numFmtId="2" fontId="16" fillId="7" borderId="0" xfId="0" applyNumberFormat="1" applyFont="1" applyFill="1" applyAlignment="1">
      <alignment horizontal="right"/>
    </xf>
    <xf numFmtId="168" fontId="39" fillId="7" borderId="0" xfId="9" applyFont="1" applyFill="1" applyAlignment="1" applyProtection="1">
      <alignment horizontal="right"/>
    </xf>
    <xf numFmtId="0" fontId="45" fillId="7" borderId="0" xfId="0" applyFont="1" applyFill="1" applyAlignment="1">
      <alignment horizontal="right"/>
    </xf>
    <xf numFmtId="15" fontId="16" fillId="0" borderId="0" xfId="0" applyNumberFormat="1" applyFont="1" applyAlignment="1">
      <alignment horizontal="center"/>
    </xf>
    <xf numFmtId="173" fontId="16" fillId="8" borderId="0" xfId="0" applyNumberFormat="1" applyFont="1" applyFill="1"/>
    <xf numFmtId="174" fontId="46" fillId="8" borderId="0" xfId="0" applyNumberFormat="1" applyFont="1" applyFill="1" applyAlignment="1" applyProtection="1">
      <alignment horizontal="right"/>
      <protection locked="0"/>
    </xf>
    <xf numFmtId="166" fontId="47" fillId="8" borderId="0" xfId="9" applyNumberFormat="1" applyFont="1" applyFill="1" applyBorder="1" applyAlignment="1">
      <alignment horizontal="right"/>
    </xf>
    <xf numFmtId="173" fontId="16" fillId="8" borderId="0" xfId="0" applyNumberFormat="1" applyFont="1" applyFill="1" applyAlignment="1">
      <alignment horizontal="left"/>
    </xf>
    <xf numFmtId="166" fontId="47" fillId="8" borderId="0" xfId="9" applyNumberFormat="1" applyFont="1" applyFill="1" applyBorder="1" applyAlignment="1" applyProtection="1">
      <alignment horizontal="right"/>
    </xf>
    <xf numFmtId="0" fontId="16" fillId="8" borderId="0" xfId="0" applyFont="1" applyFill="1"/>
    <xf numFmtId="0" fontId="16" fillId="9" borderId="0" xfId="0" applyFont="1" applyFill="1"/>
    <xf numFmtId="175" fontId="48" fillId="9" borderId="0" xfId="0" applyNumberFormat="1" applyFont="1" applyFill="1"/>
    <xf numFmtId="0" fontId="16" fillId="9" borderId="0" xfId="0" applyFont="1" applyFill="1" applyAlignment="1">
      <alignment horizontal="center"/>
    </xf>
    <xf numFmtId="173" fontId="16" fillId="7" borderId="0" xfId="0" applyNumberFormat="1" applyFont="1" applyFill="1" applyAlignment="1">
      <alignment horizontal="left" indent="2"/>
    </xf>
    <xf numFmtId="174" fontId="46" fillId="7" borderId="0" xfId="0" applyNumberFormat="1" applyFont="1" applyFill="1" applyAlignment="1" applyProtection="1">
      <alignment horizontal="right"/>
      <protection locked="0"/>
    </xf>
    <xf numFmtId="2" fontId="46" fillId="7" borderId="0" xfId="0" applyNumberFormat="1" applyFont="1" applyFill="1" applyAlignment="1" applyProtection="1">
      <alignment horizontal="right"/>
      <protection locked="0"/>
    </xf>
    <xf numFmtId="166" fontId="47" fillId="7" borderId="0" xfId="9" applyNumberFormat="1" applyFont="1" applyFill="1" applyAlignment="1" applyProtection="1">
      <alignment horizontal="right"/>
    </xf>
    <xf numFmtId="168" fontId="16" fillId="0" borderId="0" xfId="0" applyNumberFormat="1" applyFont="1" applyAlignment="1">
      <alignment horizontal="center"/>
    </xf>
    <xf numFmtId="166" fontId="48" fillId="8" borderId="0" xfId="9" applyNumberFormat="1" applyFont="1" applyFill="1" applyBorder="1" applyAlignment="1">
      <alignment horizontal="right"/>
    </xf>
    <xf numFmtId="166" fontId="48" fillId="8" borderId="0" xfId="9" applyNumberFormat="1" applyFont="1" applyFill="1" applyBorder="1" applyAlignment="1" applyProtection="1">
      <alignment horizontal="right"/>
      <protection locked="0"/>
    </xf>
    <xf numFmtId="0" fontId="16" fillId="7" borderId="0" xfId="0" applyFont="1" applyFill="1"/>
    <xf numFmtId="167" fontId="48" fillId="8" borderId="0" xfId="0" applyNumberFormat="1" applyFont="1" applyFill="1"/>
    <xf numFmtId="166" fontId="47" fillId="7" borderId="0" xfId="9" applyNumberFormat="1" applyFont="1" applyFill="1" applyAlignment="1">
      <alignment horizontal="right"/>
    </xf>
    <xf numFmtId="166" fontId="15" fillId="7" borderId="0" xfId="0" applyNumberFormat="1" applyFont="1" applyFill="1"/>
    <xf numFmtId="166" fontId="15" fillId="8" borderId="0" xfId="0" applyNumberFormat="1" applyFont="1" applyFill="1"/>
    <xf numFmtId="173" fontId="16" fillId="0" borderId="0" xfId="0" applyNumberFormat="1" applyFont="1" applyAlignment="1">
      <alignment horizontal="left" indent="2"/>
    </xf>
    <xf numFmtId="174" fontId="46" fillId="0" borderId="0" xfId="0" applyNumberFormat="1" applyFont="1" applyAlignment="1" applyProtection="1">
      <alignment horizontal="right"/>
      <protection locked="0"/>
    </xf>
    <xf numFmtId="2" fontId="46" fillId="0" borderId="0" xfId="0" applyNumberFormat="1" applyFont="1" applyAlignment="1" applyProtection="1">
      <alignment horizontal="right"/>
      <protection locked="0"/>
    </xf>
    <xf numFmtId="166" fontId="47" fillId="0" borderId="0" xfId="9" applyNumberFormat="1" applyFont="1" applyFill="1" applyAlignment="1">
      <alignment horizontal="right"/>
    </xf>
    <xf numFmtId="166" fontId="15" fillId="0" borderId="0" xfId="0" applyNumberFormat="1" applyFont="1"/>
    <xf numFmtId="175" fontId="15" fillId="9" borderId="0" xfId="0" applyNumberFormat="1" applyFont="1" applyFill="1"/>
    <xf numFmtId="0" fontId="15" fillId="10" borderId="0" xfId="0" applyFont="1" applyFill="1" applyAlignment="1">
      <alignment vertical="center"/>
    </xf>
    <xf numFmtId="174" fontId="46" fillId="10" borderId="0" xfId="0" applyNumberFormat="1" applyFont="1" applyFill="1" applyAlignment="1" applyProtection="1">
      <alignment horizontal="right"/>
      <protection locked="0"/>
    </xf>
    <xf numFmtId="2" fontId="46" fillId="10" borderId="0" xfId="0" applyNumberFormat="1" applyFont="1" applyFill="1" applyAlignment="1" applyProtection="1">
      <alignment horizontal="right"/>
      <protection locked="0"/>
    </xf>
    <xf numFmtId="166" fontId="47" fillId="10" borderId="0" xfId="9" applyNumberFormat="1" applyFont="1" applyFill="1" applyAlignment="1" applyProtection="1">
      <alignment horizontal="right"/>
    </xf>
    <xf numFmtId="0" fontId="16" fillId="10" borderId="0" xfId="0" applyFont="1" applyFill="1"/>
    <xf numFmtId="173" fontId="16" fillId="10" borderId="0" xfId="0" applyNumberFormat="1" applyFont="1" applyFill="1" applyAlignment="1">
      <alignment horizontal="left" indent="2"/>
    </xf>
    <xf numFmtId="173" fontId="21" fillId="10" borderId="0" xfId="0" applyNumberFormat="1" applyFont="1" applyFill="1"/>
    <xf numFmtId="166" fontId="47" fillId="10" borderId="0" xfId="9" applyNumberFormat="1" applyFont="1" applyFill="1" applyAlignment="1">
      <alignment horizontal="right"/>
    </xf>
    <xf numFmtId="166" fontId="15" fillId="10" borderId="0" xfId="0" applyNumberFormat="1" applyFont="1" applyFill="1"/>
    <xf numFmtId="166" fontId="47" fillId="0" borderId="0" xfId="9" applyNumberFormat="1" applyFont="1" applyAlignment="1">
      <alignment horizontal="right"/>
    </xf>
    <xf numFmtId="0" fontId="15" fillId="11" borderId="0" xfId="0" applyFont="1" applyFill="1" applyAlignment="1">
      <alignment vertical="center"/>
    </xf>
    <xf numFmtId="174" fontId="46" fillId="11" borderId="0" xfId="0" applyNumberFormat="1" applyFont="1" applyFill="1" applyAlignment="1" applyProtection="1">
      <alignment horizontal="right"/>
      <protection locked="0"/>
    </xf>
    <xf numFmtId="2" fontId="46" fillId="11" borderId="0" xfId="0" applyNumberFormat="1" applyFont="1" applyFill="1" applyAlignment="1" applyProtection="1">
      <alignment horizontal="right"/>
      <protection locked="0"/>
    </xf>
    <xf numFmtId="166" fontId="47" fillId="11" borderId="0" xfId="9" applyNumberFormat="1" applyFont="1" applyFill="1" applyAlignment="1" applyProtection="1">
      <alignment horizontal="right"/>
    </xf>
    <xf numFmtId="0" fontId="16" fillId="11" borderId="0" xfId="0" applyFont="1" applyFill="1"/>
    <xf numFmtId="173" fontId="16" fillId="11" borderId="0" xfId="0" applyNumberFormat="1" applyFont="1" applyFill="1" applyAlignment="1">
      <alignment horizontal="left" indent="2"/>
    </xf>
    <xf numFmtId="166" fontId="47" fillId="11" borderId="0" xfId="9" applyNumberFormat="1" applyFont="1" applyFill="1" applyAlignment="1">
      <alignment horizontal="right"/>
    </xf>
    <xf numFmtId="166" fontId="15" fillId="11" borderId="0" xfId="0" applyNumberFormat="1" applyFont="1" applyFill="1"/>
    <xf numFmtId="173" fontId="21" fillId="12" borderId="0" xfId="0" applyNumberFormat="1" applyFont="1" applyFill="1"/>
    <xf numFmtId="174" fontId="46" fillId="12" borderId="0" xfId="0" applyNumberFormat="1" applyFont="1" applyFill="1" applyAlignment="1" applyProtection="1">
      <alignment horizontal="right"/>
      <protection locked="0"/>
    </xf>
    <xf numFmtId="2" fontId="46" fillId="12" borderId="0" xfId="0" applyNumberFormat="1" applyFont="1" applyFill="1" applyAlignment="1" applyProtection="1">
      <alignment horizontal="right"/>
      <protection locked="0"/>
    </xf>
    <xf numFmtId="166" fontId="47" fillId="12" borderId="0" xfId="9" applyNumberFormat="1" applyFont="1" applyFill="1" applyAlignment="1" applyProtection="1">
      <alignment horizontal="right"/>
    </xf>
    <xf numFmtId="0" fontId="16" fillId="12" borderId="0" xfId="0" applyFont="1" applyFill="1"/>
    <xf numFmtId="173" fontId="16" fillId="12" borderId="0" xfId="0" applyNumberFormat="1" applyFont="1" applyFill="1" applyAlignment="1">
      <alignment horizontal="left" indent="2"/>
    </xf>
    <xf numFmtId="166" fontId="47" fillId="12" borderId="0" xfId="9" applyNumberFormat="1" applyFont="1" applyFill="1" applyAlignment="1">
      <alignment horizontal="right"/>
    </xf>
    <xf numFmtId="166" fontId="15" fillId="12" borderId="0" xfId="0" applyNumberFormat="1" applyFont="1" applyFill="1"/>
    <xf numFmtId="0" fontId="15" fillId="13" borderId="0" xfId="0" applyFont="1" applyFill="1" applyAlignment="1">
      <alignment vertical="center"/>
    </xf>
    <xf numFmtId="174" fontId="46" fillId="13" borderId="0" xfId="0" applyNumberFormat="1" applyFont="1" applyFill="1" applyAlignment="1" applyProtection="1">
      <alignment horizontal="right"/>
      <protection locked="0"/>
    </xf>
    <xf numFmtId="2" fontId="46" fillId="13" borderId="0" xfId="0" applyNumberFormat="1" applyFont="1" applyFill="1" applyAlignment="1" applyProtection="1">
      <alignment horizontal="right"/>
      <protection locked="0"/>
    </xf>
    <xf numFmtId="166" fontId="47" fillId="13" borderId="0" xfId="9" applyNumberFormat="1" applyFont="1" applyFill="1" applyAlignment="1">
      <alignment horizontal="right"/>
    </xf>
    <xf numFmtId="0" fontId="16" fillId="13" borderId="0" xfId="0" applyFont="1" applyFill="1"/>
    <xf numFmtId="167" fontId="48" fillId="0" borderId="0" xfId="0" applyNumberFormat="1" applyFont="1"/>
    <xf numFmtId="173" fontId="16" fillId="13" borderId="0" xfId="0" applyNumberFormat="1" applyFont="1" applyFill="1" applyAlignment="1">
      <alignment horizontal="left" indent="2"/>
    </xf>
    <xf numFmtId="166" fontId="47" fillId="13" borderId="0" xfId="9" applyNumberFormat="1" applyFont="1" applyFill="1" applyAlignment="1" applyProtection="1">
      <alignment horizontal="right"/>
    </xf>
    <xf numFmtId="175" fontId="15" fillId="0" borderId="0" xfId="0" applyNumberFormat="1" applyFont="1"/>
    <xf numFmtId="166" fontId="15" fillId="13" borderId="0" xfId="0" applyNumberFormat="1" applyFont="1" applyFill="1"/>
    <xf numFmtId="168" fontId="16" fillId="0" borderId="0" xfId="8" applyNumberFormat="1" applyFont="1" applyFill="1" applyBorder="1" applyAlignment="1">
      <alignment horizontal="center"/>
    </xf>
    <xf numFmtId="0" fontId="15" fillId="14" borderId="0" xfId="0" applyFont="1" applyFill="1" applyAlignment="1">
      <alignment vertical="center"/>
    </xf>
    <xf numFmtId="174" fontId="46" fillId="14" borderId="0" xfId="0" applyNumberFormat="1" applyFont="1" applyFill="1" applyAlignment="1" applyProtection="1">
      <alignment horizontal="right"/>
      <protection locked="0"/>
    </xf>
    <xf numFmtId="2" fontId="46" fillId="14" borderId="0" xfId="0" applyNumberFormat="1" applyFont="1" applyFill="1" applyAlignment="1" applyProtection="1">
      <alignment horizontal="right"/>
      <protection locked="0"/>
    </xf>
    <xf numFmtId="166" fontId="47" fillId="14" borderId="0" xfId="9" applyNumberFormat="1" applyFont="1" applyFill="1" applyAlignment="1">
      <alignment horizontal="right"/>
    </xf>
    <xf numFmtId="0" fontId="16" fillId="14" borderId="0" xfId="0" applyFont="1" applyFill="1"/>
    <xf numFmtId="173" fontId="16" fillId="14" borderId="0" xfId="0" applyNumberFormat="1" applyFont="1" applyFill="1" applyAlignment="1">
      <alignment horizontal="left" indent="2"/>
    </xf>
    <xf numFmtId="166" fontId="47" fillId="14" borderId="0" xfId="9" applyNumberFormat="1" applyFont="1" applyFill="1" applyAlignment="1" applyProtection="1">
      <alignment horizontal="right"/>
    </xf>
    <xf numFmtId="166" fontId="15" fillId="14" borderId="0" xfId="0" applyNumberFormat="1" applyFont="1" applyFill="1"/>
    <xf numFmtId="0" fontId="15" fillId="15" borderId="0" xfId="0" applyFont="1" applyFill="1" applyAlignment="1">
      <alignment vertical="center"/>
    </xf>
    <xf numFmtId="174" fontId="46" fillId="15" borderId="0" xfId="0" applyNumberFormat="1" applyFont="1" applyFill="1" applyAlignment="1" applyProtection="1">
      <alignment horizontal="right"/>
      <protection locked="0"/>
    </xf>
    <xf numFmtId="2" fontId="46" fillId="15" borderId="0" xfId="0" applyNumberFormat="1" applyFont="1" applyFill="1" applyAlignment="1" applyProtection="1">
      <alignment horizontal="right"/>
      <protection locked="0"/>
    </xf>
    <xf numFmtId="166" fontId="47" fillId="15" borderId="0" xfId="9" applyNumberFormat="1" applyFont="1" applyFill="1" applyAlignment="1" applyProtection="1">
      <alignment horizontal="right"/>
    </xf>
    <xf numFmtId="0" fontId="16" fillId="15" borderId="0" xfId="0" applyFont="1" applyFill="1"/>
    <xf numFmtId="166" fontId="16" fillId="0" borderId="0" xfId="0" applyNumberFormat="1" applyFont="1" applyAlignment="1">
      <alignment horizontal="center"/>
    </xf>
    <xf numFmtId="166" fontId="16" fillId="0" borderId="0" xfId="0" applyNumberFormat="1" applyFont="1"/>
    <xf numFmtId="173" fontId="16" fillId="15" borderId="0" xfId="0" applyNumberFormat="1" applyFont="1" applyFill="1" applyAlignment="1">
      <alignment horizontal="left" indent="2"/>
    </xf>
    <xf numFmtId="166" fontId="47" fillId="15" borderId="0" xfId="9" applyNumberFormat="1" applyFont="1" applyFill="1" applyAlignment="1">
      <alignment horizontal="right"/>
    </xf>
    <xf numFmtId="166" fontId="15" fillId="15" borderId="0" xfId="0" applyNumberFormat="1" applyFont="1" applyFill="1"/>
    <xf numFmtId="0" fontId="15" fillId="7" borderId="0" xfId="0" applyFont="1" applyFill="1" applyAlignment="1">
      <alignment vertical="center"/>
    </xf>
    <xf numFmtId="166" fontId="47" fillId="0" borderId="0" xfId="9" applyNumberFormat="1" applyFont="1" applyFill="1" applyAlignment="1" applyProtection="1">
      <alignment horizontal="right"/>
    </xf>
    <xf numFmtId="173" fontId="21" fillId="0" borderId="0" xfId="0" applyNumberFormat="1" applyFont="1"/>
    <xf numFmtId="0" fontId="15" fillId="9" borderId="0" xfId="0" applyFont="1" applyFill="1" applyAlignment="1">
      <alignment vertical="center"/>
    </xf>
    <xf numFmtId="174" fontId="46" fillId="9" borderId="0" xfId="0" applyNumberFormat="1" applyFont="1" applyFill="1" applyAlignment="1" applyProtection="1">
      <alignment horizontal="right"/>
      <protection locked="0"/>
    </xf>
    <xf numFmtId="2" fontId="46" fillId="9" borderId="0" xfId="0" applyNumberFormat="1" applyFont="1" applyFill="1" applyAlignment="1" applyProtection="1">
      <alignment horizontal="right"/>
      <protection locked="0"/>
    </xf>
    <xf numFmtId="166" fontId="47" fillId="9" borderId="0" xfId="9" applyNumberFormat="1" applyFont="1" applyFill="1" applyAlignment="1" applyProtection="1">
      <alignment horizontal="right"/>
    </xf>
    <xf numFmtId="0" fontId="2" fillId="0" borderId="0" xfId="0" applyFont="1"/>
    <xf numFmtId="173" fontId="16" fillId="9" borderId="0" xfId="0" applyNumberFormat="1" applyFont="1" applyFill="1" applyAlignment="1">
      <alignment horizontal="left" indent="2"/>
    </xf>
    <xf numFmtId="15" fontId="39" fillId="0" borderId="0" xfId="0" applyNumberFormat="1" applyFont="1" applyAlignment="1">
      <alignment horizontal="center"/>
    </xf>
    <xf numFmtId="173" fontId="21" fillId="9" borderId="0" xfId="0" applyNumberFormat="1" applyFont="1" applyFill="1"/>
    <xf numFmtId="166" fontId="47" fillId="9" borderId="0" xfId="9" applyNumberFormat="1" applyFont="1" applyFill="1" applyAlignment="1">
      <alignment horizontal="right"/>
    </xf>
    <xf numFmtId="166" fontId="15" fillId="9" borderId="0" xfId="0" applyNumberFormat="1" applyFont="1" applyFill="1"/>
    <xf numFmtId="0" fontId="15" fillId="8" borderId="0" xfId="0" applyFont="1" applyFill="1" applyAlignment="1">
      <alignment vertical="center"/>
    </xf>
    <xf numFmtId="2" fontId="46" fillId="8" borderId="0" xfId="0" applyNumberFormat="1" applyFont="1" applyFill="1" applyAlignment="1" applyProtection="1">
      <alignment horizontal="right"/>
      <protection locked="0"/>
    </xf>
    <xf numFmtId="166" fontId="47" fillId="8" borderId="0" xfId="9" applyNumberFormat="1" applyFont="1" applyFill="1" applyAlignment="1" applyProtection="1">
      <alignment horizontal="right"/>
    </xf>
    <xf numFmtId="173" fontId="16" fillId="8" borderId="0" xfId="0" applyNumberFormat="1" applyFont="1" applyFill="1" applyAlignment="1">
      <alignment horizontal="left" indent="2"/>
    </xf>
    <xf numFmtId="173" fontId="21" fillId="8" borderId="0" xfId="0" applyNumberFormat="1" applyFont="1" applyFill="1"/>
    <xf numFmtId="166" fontId="47" fillId="8" borderId="0" xfId="9" applyNumberFormat="1" applyFont="1" applyFill="1" applyAlignment="1">
      <alignment horizontal="right"/>
    </xf>
    <xf numFmtId="173" fontId="21" fillId="0" borderId="90" xfId="0" applyNumberFormat="1" applyFont="1" applyBorder="1" applyAlignment="1">
      <alignment horizontal="left"/>
    </xf>
    <xf numFmtId="174" fontId="46" fillId="0" borderId="90" xfId="0" applyNumberFormat="1" applyFont="1" applyBorder="1" applyAlignment="1" applyProtection="1">
      <alignment horizontal="right"/>
      <protection locked="0"/>
    </xf>
    <xf numFmtId="2" fontId="46" fillId="0" borderId="90" xfId="0" applyNumberFormat="1" applyFont="1" applyBorder="1" applyAlignment="1" applyProtection="1">
      <alignment horizontal="right"/>
      <protection locked="0"/>
    </xf>
    <xf numFmtId="166" fontId="49" fillId="0" borderId="90" xfId="9" applyNumberFormat="1" applyFont="1" applyBorder="1" applyAlignment="1" applyProtection="1">
      <alignment horizontal="right"/>
    </xf>
    <xf numFmtId="166" fontId="50" fillId="0" borderId="90" xfId="0" applyNumberFormat="1" applyFont="1" applyBorder="1"/>
    <xf numFmtId="0" fontId="15" fillId="0" borderId="90" xfId="0" applyFont="1" applyBorder="1" applyAlignment="1">
      <alignment horizontal="left"/>
    </xf>
    <xf numFmtId="175" fontId="50" fillId="0" borderId="90" xfId="0" applyNumberFormat="1" applyFont="1" applyBorder="1" applyAlignment="1">
      <alignment horizontal="left"/>
    </xf>
    <xf numFmtId="173" fontId="21" fillId="2" borderId="65" xfId="0" applyNumberFormat="1" applyFont="1" applyFill="1" applyBorder="1"/>
    <xf numFmtId="174" fontId="46" fillId="2" borderId="67" xfId="0" applyNumberFormat="1" applyFont="1" applyFill="1" applyBorder="1" applyAlignment="1" applyProtection="1">
      <alignment horizontal="right"/>
      <protection locked="0"/>
    </xf>
    <xf numFmtId="2" fontId="46" fillId="2" borderId="67" xfId="0" applyNumberFormat="1" applyFont="1" applyFill="1" applyBorder="1" applyAlignment="1" applyProtection="1">
      <alignment horizontal="right"/>
      <protection locked="0"/>
    </xf>
    <xf numFmtId="0" fontId="16" fillId="2" borderId="67" xfId="0" applyFont="1" applyFill="1" applyBorder="1"/>
    <xf numFmtId="166" fontId="21" fillId="2" borderId="66" xfId="9" applyNumberFormat="1" applyFont="1" applyFill="1" applyBorder="1" applyAlignment="1" applyProtection="1">
      <alignment horizontal="right"/>
    </xf>
    <xf numFmtId="14" fontId="16" fillId="0" borderId="0" xfId="0" applyNumberFormat="1" applyFont="1"/>
    <xf numFmtId="15" fontId="3" fillId="0" borderId="0" xfId="0" applyNumberFormat="1" applyFont="1" applyAlignment="1">
      <alignment horizontal="left"/>
    </xf>
    <xf numFmtId="0" fontId="39" fillId="6" borderId="0" xfId="0" applyFont="1" applyFill="1" applyAlignment="1">
      <alignment vertical="center"/>
    </xf>
    <xf numFmtId="0" fontId="51" fillId="0" borderId="0" xfId="0" applyFont="1"/>
    <xf numFmtId="175" fontId="0" fillId="0" borderId="0" xfId="0" applyNumberFormat="1"/>
    <xf numFmtId="0" fontId="3" fillId="7" borderId="1" xfId="0" applyFont="1" applyFill="1" applyBorder="1"/>
    <xf numFmtId="0" fontId="3" fillId="7" borderId="1" xfId="0" applyFont="1" applyFill="1" applyBorder="1" applyAlignment="1">
      <alignment horizontal="center"/>
    </xf>
    <xf numFmtId="0" fontId="0" fillId="7" borderId="1" xfId="0" applyFill="1" applyBorder="1"/>
    <xf numFmtId="175" fontId="0" fillId="7" borderId="1" xfId="0" applyNumberFormat="1" applyFill="1" applyBorder="1"/>
    <xf numFmtId="0" fontId="0" fillId="7" borderId="1" xfId="0" applyFill="1" applyBorder="1" applyAlignment="1">
      <alignment horizontal="center"/>
    </xf>
    <xf numFmtId="0" fontId="3" fillId="16" borderId="1" xfId="0" applyFont="1" applyFill="1" applyBorder="1" applyAlignment="1">
      <alignment horizontal="right"/>
    </xf>
    <xf numFmtId="0" fontId="3" fillId="16" borderId="1" xfId="0" applyFont="1" applyFill="1" applyBorder="1" applyAlignment="1">
      <alignment horizontal="center"/>
    </xf>
    <xf numFmtId="175" fontId="3" fillId="16" borderId="1" xfId="0" applyNumberFormat="1" applyFont="1" applyFill="1" applyBorder="1"/>
    <xf numFmtId="0" fontId="3" fillId="0" borderId="0" xfId="0" applyFont="1" applyAlignment="1">
      <alignment horizontal="right"/>
    </xf>
    <xf numFmtId="175" fontId="3" fillId="0" borderId="0" xfId="0" applyNumberFormat="1" applyFont="1"/>
    <xf numFmtId="0" fontId="3" fillId="15" borderId="1" xfId="0" applyFont="1" applyFill="1" applyBorder="1"/>
    <xf numFmtId="0" fontId="3" fillId="15" borderId="1" xfId="0" applyFont="1" applyFill="1" applyBorder="1" applyAlignment="1">
      <alignment horizontal="center"/>
    </xf>
    <xf numFmtId="0" fontId="0" fillId="15" borderId="1" xfId="0" applyFill="1" applyBorder="1"/>
    <xf numFmtId="175" fontId="0" fillId="15" borderId="1" xfId="0" applyNumberFormat="1" applyFill="1" applyBorder="1"/>
    <xf numFmtId="3" fontId="0" fillId="15" borderId="1" xfId="0" applyNumberFormat="1" applyFill="1" applyBorder="1" applyAlignment="1">
      <alignment horizontal="center"/>
    </xf>
    <xf numFmtId="0" fontId="0" fillId="15" borderId="1" xfId="0" applyFill="1" applyBorder="1" applyAlignment="1">
      <alignment horizontal="center"/>
    </xf>
    <xf numFmtId="175" fontId="0" fillId="15" borderId="1" xfId="0" applyNumberFormat="1" applyFill="1" applyBorder="1" applyAlignment="1">
      <alignment horizontal="center"/>
    </xf>
    <xf numFmtId="165" fontId="0" fillId="15" borderId="1" xfId="0" applyNumberFormat="1" applyFill="1" applyBorder="1"/>
    <xf numFmtId="0" fontId="3" fillId="3" borderId="1" xfId="0" applyFont="1" applyFill="1" applyBorder="1" applyAlignment="1">
      <alignment horizontal="right"/>
    </xf>
    <xf numFmtId="3" fontId="3" fillId="3" borderId="1" xfId="0" applyNumberFormat="1" applyFont="1" applyFill="1" applyBorder="1" applyAlignment="1">
      <alignment horizontal="center"/>
    </xf>
    <xf numFmtId="175" fontId="3" fillId="3" borderId="1" xfId="0" applyNumberFormat="1" applyFont="1" applyFill="1" applyBorder="1"/>
    <xf numFmtId="0" fontId="3" fillId="0" borderId="1" xfId="0" applyFont="1" applyBorder="1" applyAlignment="1">
      <alignment horizontal="right"/>
    </xf>
    <xf numFmtId="0" fontId="3" fillId="0" borderId="1" xfId="0" applyFont="1" applyBorder="1" applyAlignment="1">
      <alignment horizontal="center"/>
    </xf>
    <xf numFmtId="175" fontId="3" fillId="0" borderId="1" xfId="0" applyNumberFormat="1" applyFont="1" applyBorder="1"/>
    <xf numFmtId="0" fontId="3" fillId="3" borderId="1" xfId="0" applyFont="1" applyFill="1" applyBorder="1"/>
    <xf numFmtId="175" fontId="0" fillId="3" borderId="1" xfId="0" applyNumberFormat="1" applyFill="1" applyBorder="1"/>
    <xf numFmtId="0" fontId="0" fillId="3" borderId="1" xfId="0" applyFill="1" applyBorder="1" applyAlignment="1">
      <alignment horizontal="center"/>
    </xf>
    <xf numFmtId="0" fontId="3" fillId="7" borderId="1" xfId="0" applyFont="1" applyFill="1" applyBorder="1" applyAlignment="1">
      <alignment horizontal="left"/>
    </xf>
    <xf numFmtId="175" fontId="3" fillId="7" borderId="1" xfId="0" applyNumberFormat="1" applyFont="1" applyFill="1" applyBorder="1" applyAlignment="1">
      <alignment horizontal="center"/>
    </xf>
    <xf numFmtId="0" fontId="0" fillId="7" borderId="1" xfId="0" applyFill="1" applyBorder="1" applyAlignment="1">
      <alignment horizontal="left"/>
    </xf>
    <xf numFmtId="0" fontId="3" fillId="17" borderId="1" xfId="0" applyFont="1" applyFill="1" applyBorder="1" applyAlignment="1">
      <alignment horizontal="right"/>
    </xf>
    <xf numFmtId="0" fontId="3" fillId="17" borderId="1" xfId="0" applyFont="1" applyFill="1" applyBorder="1" applyAlignment="1">
      <alignment horizontal="center"/>
    </xf>
    <xf numFmtId="175" fontId="3" fillId="17" borderId="1" xfId="0" applyNumberFormat="1" applyFont="1" applyFill="1" applyBorder="1"/>
    <xf numFmtId="0" fontId="6" fillId="0" borderId="0" xfId="0" applyFont="1"/>
    <xf numFmtId="0" fontId="0" fillId="2" borderId="1" xfId="0" applyFill="1" applyBorder="1"/>
    <xf numFmtId="169" fontId="2" fillId="2" borderId="1" xfId="1" applyNumberFormat="1" applyFont="1" applyFill="1" applyBorder="1"/>
    <xf numFmtId="169" fontId="5" fillId="0" borderId="1" xfId="1" applyNumberFormat="1" applyFont="1" applyBorder="1"/>
    <xf numFmtId="169" fontId="4" fillId="0" borderId="1" xfId="1" applyNumberFormat="1" applyFont="1" applyBorder="1"/>
    <xf numFmtId="169" fontId="4" fillId="2" borderId="1" xfId="1" applyNumberFormat="1" applyFont="1" applyFill="1" applyBorder="1"/>
    <xf numFmtId="169" fontId="0" fillId="2" borderId="1" xfId="1" applyNumberFormat="1" applyFont="1" applyFill="1" applyBorder="1"/>
    <xf numFmtId="0" fontId="6" fillId="2" borderId="1" xfId="0" applyFont="1" applyFill="1" applyBorder="1"/>
    <xf numFmtId="169" fontId="6" fillId="2" borderId="1" xfId="1" applyNumberFormat="1" applyFont="1" applyFill="1" applyBorder="1"/>
    <xf numFmtId="169" fontId="3" fillId="3" borderId="1" xfId="1" applyNumberFormat="1" applyFont="1" applyFill="1" applyBorder="1"/>
    <xf numFmtId="169" fontId="3" fillId="0" borderId="1" xfId="1" applyNumberFormat="1" applyFont="1" applyBorder="1"/>
    <xf numFmtId="0" fontId="6" fillId="0" borderId="1" xfId="0" applyFont="1" applyBorder="1"/>
    <xf numFmtId="169" fontId="6" fillId="0" borderId="1" xfId="1" applyNumberFormat="1" applyFont="1" applyFill="1" applyBorder="1"/>
    <xf numFmtId="0" fontId="3" fillId="0" borderId="0" xfId="0" applyFont="1" applyAlignment="1">
      <alignment wrapText="1"/>
    </xf>
    <xf numFmtId="0" fontId="0" fillId="0" borderId="0" xfId="0" applyAlignment="1">
      <alignment wrapText="1"/>
    </xf>
    <xf numFmtId="0" fontId="0" fillId="2" borderId="0" xfId="0" applyFill="1" applyAlignment="1">
      <alignment wrapText="1"/>
    </xf>
    <xf numFmtId="0" fontId="6" fillId="0" borderId="0" xfId="0" applyFont="1" applyAlignment="1">
      <alignment wrapText="1"/>
    </xf>
    <xf numFmtId="169" fontId="3" fillId="0" borderId="0" xfId="1" applyNumberFormat="1" applyFont="1" applyAlignment="1">
      <alignment wrapText="1"/>
    </xf>
    <xf numFmtId="170" fontId="16" fillId="0" borderId="10" xfId="2" applyFont="1" applyBorder="1" applyAlignment="1">
      <alignment vertical="center" wrapText="1"/>
    </xf>
    <xf numFmtId="170" fontId="16" fillId="0" borderId="11" xfId="2" applyFont="1" applyBorder="1" applyAlignment="1">
      <alignment vertical="center" wrapText="1"/>
    </xf>
    <xf numFmtId="170" fontId="16" fillId="0" borderId="7" xfId="2" applyFont="1" applyBorder="1" applyAlignment="1">
      <alignment vertical="center" wrapText="1"/>
    </xf>
    <xf numFmtId="0" fontId="0" fillId="0" borderId="0" xfId="0"/>
    <xf numFmtId="0" fontId="26" fillId="0" borderId="52" xfId="4" applyFont="1" applyBorder="1" applyAlignment="1" applyProtection="1">
      <alignment horizontal="left"/>
      <protection locked="0"/>
    </xf>
    <xf numFmtId="0" fontId="26" fillId="0" borderId="0" xfId="4" applyFont="1" applyAlignment="1" applyProtection="1">
      <alignment horizontal="left"/>
      <protection locked="0"/>
    </xf>
    <xf numFmtId="0" fontId="26" fillId="0" borderId="53" xfId="4" applyFont="1" applyBorder="1" applyAlignment="1" applyProtection="1">
      <alignment horizontal="left"/>
      <protection locked="0"/>
    </xf>
    <xf numFmtId="0" fontId="26" fillId="0" borderId="4" xfId="4" applyFont="1" applyBorder="1" applyAlignment="1" applyProtection="1">
      <alignment horizontal="center"/>
      <protection locked="0"/>
    </xf>
    <xf numFmtId="0" fontId="26" fillId="0" borderId="53" xfId="4" applyFont="1" applyBorder="1" applyAlignment="1" applyProtection="1">
      <alignment horizontal="center"/>
      <protection locked="0"/>
    </xf>
    <xf numFmtId="0" fontId="26" fillId="0" borderId="4" xfId="4" applyFont="1" applyBorder="1" applyAlignment="1" applyProtection="1">
      <alignment horizontal="left"/>
      <protection locked="0"/>
    </xf>
    <xf numFmtId="0" fontId="26" fillId="0" borderId="54" xfId="4" applyFont="1" applyBorder="1" applyAlignment="1" applyProtection="1">
      <alignment horizontal="center"/>
      <protection locked="0"/>
    </xf>
    <xf numFmtId="0" fontId="26" fillId="0" borderId="55" xfId="4" applyFont="1" applyBorder="1" applyAlignment="1" applyProtection="1">
      <alignment horizontal="center"/>
      <protection locked="0"/>
    </xf>
    <xf numFmtId="0" fontId="26" fillId="0" borderId="56" xfId="4" applyFont="1" applyBorder="1" applyAlignment="1" applyProtection="1">
      <alignment horizontal="center"/>
      <protection locked="0"/>
    </xf>
    <xf numFmtId="0" fontId="26" fillId="0" borderId="57" xfId="4" applyFont="1" applyBorder="1" applyAlignment="1" applyProtection="1">
      <alignment horizontal="center"/>
      <protection locked="0"/>
    </xf>
    <xf numFmtId="0" fontId="22" fillId="0" borderId="39" xfId="4" applyFont="1" applyBorder="1" applyAlignment="1">
      <alignment horizontal="center"/>
    </xf>
    <xf numFmtId="0" fontId="22" fillId="0" borderId="40" xfId="4" applyFont="1" applyBorder="1" applyAlignment="1">
      <alignment horizontal="center"/>
    </xf>
    <xf numFmtId="0" fontId="22" fillId="0" borderId="41" xfId="4" applyFont="1" applyBorder="1" applyAlignment="1">
      <alignment horizontal="center"/>
    </xf>
    <xf numFmtId="0" fontId="26" fillId="0" borderId="47" xfId="4" applyFont="1" applyBorder="1" applyAlignment="1" applyProtection="1">
      <alignment horizontal="left"/>
      <protection locked="0"/>
    </xf>
    <xf numFmtId="0" fontId="26" fillId="0" borderId="48" xfId="4" applyFont="1" applyBorder="1" applyAlignment="1" applyProtection="1">
      <alignment horizontal="left"/>
      <protection locked="0"/>
    </xf>
    <xf numFmtId="0" fontId="26" fillId="0" borderId="49" xfId="4" applyFont="1" applyBorder="1" applyAlignment="1" applyProtection="1">
      <alignment horizontal="left"/>
      <protection locked="0"/>
    </xf>
    <xf numFmtId="0" fontId="26" fillId="0" borderId="50" xfId="4" applyFont="1" applyBorder="1" applyAlignment="1" applyProtection="1">
      <alignment horizontal="left"/>
      <protection locked="0"/>
    </xf>
    <xf numFmtId="0" fontId="26" fillId="0" borderId="50" xfId="4" applyFont="1" applyBorder="1" applyAlignment="1" applyProtection="1">
      <alignment horizontal="center"/>
      <protection locked="0"/>
    </xf>
    <xf numFmtId="0" fontId="26" fillId="0" borderId="49" xfId="4" applyFont="1" applyBorder="1" applyAlignment="1" applyProtection="1">
      <alignment horizontal="center"/>
      <protection locked="0"/>
    </xf>
    <xf numFmtId="0" fontId="26" fillId="0" borderId="51" xfId="4" applyFont="1" applyBorder="1" applyAlignment="1" applyProtection="1">
      <alignment horizontal="center"/>
      <protection locked="0"/>
    </xf>
    <xf numFmtId="49" fontId="26" fillId="0" borderId="47" xfId="4" applyNumberFormat="1" applyFont="1" applyBorder="1" applyAlignment="1" applyProtection="1">
      <alignment horizontal="left"/>
      <protection locked="0"/>
    </xf>
    <xf numFmtId="171" fontId="26" fillId="0" borderId="50" xfId="4" applyNumberFormat="1" applyFont="1" applyBorder="1" applyAlignment="1" applyProtection="1">
      <alignment horizontal="center"/>
      <protection locked="0"/>
    </xf>
    <xf numFmtId="171" fontId="26" fillId="0" borderId="48" xfId="4" applyNumberFormat="1" applyFont="1" applyBorder="1" applyAlignment="1" applyProtection="1">
      <alignment horizontal="center"/>
      <protection locked="0"/>
    </xf>
    <xf numFmtId="171" fontId="26" fillId="0" borderId="51" xfId="4" applyNumberFormat="1" applyFont="1" applyBorder="1" applyAlignment="1" applyProtection="1">
      <alignment horizontal="center"/>
      <protection locked="0"/>
    </xf>
    <xf numFmtId="0" fontId="24" fillId="0" borderId="45" xfId="5" applyFont="1" applyBorder="1" applyAlignment="1">
      <alignment horizontal="center" vertical="center" wrapText="1"/>
    </xf>
    <xf numFmtId="0" fontId="24" fillId="0" borderId="44" xfId="5" applyFont="1" applyBorder="1" applyAlignment="1">
      <alignment horizontal="center" vertical="center" wrapText="1"/>
    </xf>
    <xf numFmtId="0" fontId="24" fillId="0" borderId="50" xfId="5" applyFont="1" applyBorder="1" applyAlignment="1">
      <alignment horizontal="center" vertical="center" wrapText="1"/>
    </xf>
    <xf numFmtId="0" fontId="24" fillId="0" borderId="49" xfId="5" applyFont="1" applyBorder="1" applyAlignment="1">
      <alignment horizontal="center" vertical="center" wrapText="1"/>
    </xf>
    <xf numFmtId="0" fontId="24" fillId="0" borderId="43" xfId="5" applyFont="1" applyBorder="1" applyAlignment="1">
      <alignment horizontal="center" vertical="center" wrapText="1"/>
    </xf>
    <xf numFmtId="0" fontId="24" fillId="0" borderId="48" xfId="5" applyFont="1" applyBorder="1" applyAlignment="1">
      <alignment horizontal="center" vertical="center" wrapText="1"/>
    </xf>
    <xf numFmtId="0" fontId="24" fillId="0" borderId="3" xfId="5" applyFont="1" applyBorder="1" applyAlignment="1">
      <alignment horizontal="center" vertical="center" wrapText="1"/>
    </xf>
    <xf numFmtId="0" fontId="24" fillId="0" borderId="2" xfId="5" applyFont="1" applyBorder="1" applyAlignment="1">
      <alignment horizontal="center" vertical="center" wrapText="1"/>
    </xf>
    <xf numFmtId="0" fontId="33" fillId="0" borderId="65" xfId="5" applyFont="1" applyBorder="1" applyAlignment="1">
      <alignment horizontal="left"/>
    </xf>
    <xf numFmtId="0" fontId="33" fillId="0" borderId="66" xfId="5" applyFont="1" applyBorder="1" applyAlignment="1">
      <alignment horizontal="left"/>
    </xf>
    <xf numFmtId="0" fontId="33" fillId="0" borderId="67" xfId="5" applyFont="1" applyBorder="1" applyAlignment="1">
      <alignment horizontal="left"/>
    </xf>
    <xf numFmtId="0" fontId="29" fillId="0" borderId="62" xfId="5" applyFont="1" applyBorder="1" applyAlignment="1" applyProtection="1">
      <alignment horizontal="left" vertical="center"/>
      <protection locked="0"/>
    </xf>
    <xf numFmtId="0" fontId="29" fillId="0" borderId="55" xfId="5" applyFont="1" applyBorder="1" applyAlignment="1" applyProtection="1">
      <alignment horizontal="left" vertical="center"/>
      <protection locked="0"/>
    </xf>
    <xf numFmtId="0" fontId="29" fillId="0" borderId="56" xfId="5" applyFont="1" applyBorder="1" applyAlignment="1" applyProtection="1">
      <alignment horizontal="left" vertical="center"/>
      <protection locked="0"/>
    </xf>
    <xf numFmtId="0" fontId="29" fillId="0" borderId="55" xfId="5" applyFont="1" applyBorder="1" applyAlignment="1" applyProtection="1">
      <alignment horizontal="left"/>
      <protection locked="0"/>
    </xf>
    <xf numFmtId="0" fontId="29" fillId="0" borderId="52" xfId="5" applyFont="1" applyBorder="1" applyAlignment="1" applyProtection="1">
      <alignment horizontal="left" vertical="center"/>
      <protection locked="0"/>
    </xf>
    <xf numFmtId="0" fontId="29" fillId="0" borderId="0" xfId="5" applyFont="1" applyAlignment="1" applyProtection="1">
      <alignment horizontal="left" vertical="center"/>
      <protection locked="0"/>
    </xf>
    <xf numFmtId="0" fontId="29" fillId="0" borderId="64" xfId="5" applyFont="1" applyBorder="1" applyAlignment="1" applyProtection="1">
      <alignment horizontal="left" vertical="center"/>
      <protection locked="0"/>
    </xf>
    <xf numFmtId="170" fontId="33" fillId="0" borderId="65" xfId="5" applyNumberFormat="1" applyFont="1" applyBorder="1" applyAlignment="1" applyProtection="1">
      <alignment horizontal="center" vertical="center"/>
      <protection locked="0"/>
    </xf>
    <xf numFmtId="170" fontId="33" fillId="0" borderId="66" xfId="5" applyNumberFormat="1" applyFont="1" applyBorder="1" applyAlignment="1" applyProtection="1">
      <alignment horizontal="center" vertical="center"/>
      <protection locked="0"/>
    </xf>
    <xf numFmtId="170" fontId="34" fillId="0" borderId="65" xfId="5" applyNumberFormat="1" applyFont="1" applyBorder="1" applyAlignment="1" applyProtection="1">
      <alignment horizontal="center" vertical="center"/>
      <protection locked="0"/>
    </xf>
    <xf numFmtId="170" fontId="34" fillId="0" borderId="66" xfId="5" applyNumberFormat="1" applyFont="1" applyBorder="1" applyAlignment="1" applyProtection="1">
      <alignment horizontal="center" vertical="center"/>
      <protection locked="0"/>
    </xf>
    <xf numFmtId="0" fontId="33" fillId="0" borderId="48" xfId="5" applyFont="1" applyBorder="1" applyAlignment="1" applyProtection="1">
      <alignment horizontal="left"/>
      <protection locked="0"/>
    </xf>
    <xf numFmtId="0" fontId="33" fillId="0" borderId="69" xfId="5" applyFont="1" applyBorder="1" applyAlignment="1">
      <alignment horizontal="left"/>
    </xf>
    <xf numFmtId="164" fontId="26" fillId="0" borderId="10" xfId="5" applyNumberFormat="1" applyFont="1" applyBorder="1" applyAlignment="1">
      <alignment horizontal="right"/>
    </xf>
    <xf numFmtId="164" fontId="26" fillId="0" borderId="68" xfId="5" applyNumberFormat="1" applyFont="1" applyBorder="1" applyAlignment="1">
      <alignment horizontal="right"/>
    </xf>
    <xf numFmtId="172" fontId="26" fillId="0" borderId="10" xfId="6" applyNumberFormat="1" applyFont="1" applyBorder="1" applyAlignment="1" applyProtection="1">
      <alignment horizontal="right"/>
    </xf>
    <xf numFmtId="172" fontId="26" fillId="0" borderId="68" xfId="6" applyNumberFormat="1" applyFont="1" applyBorder="1" applyAlignment="1" applyProtection="1">
      <alignment horizontal="right"/>
    </xf>
    <xf numFmtId="0" fontId="33" fillId="0" borderId="69" xfId="5" applyFont="1" applyBorder="1" applyAlignment="1">
      <alignment horizontal="center"/>
    </xf>
    <xf numFmtId="0" fontId="21" fillId="0" borderId="72" xfId="5" applyFont="1" applyBorder="1" applyAlignment="1">
      <alignment horizontal="center" vertical="center"/>
    </xf>
    <xf numFmtId="0" fontId="21" fillId="0" borderId="71" xfId="5" applyFont="1" applyBorder="1" applyAlignment="1">
      <alignment horizontal="center" vertical="center"/>
    </xf>
    <xf numFmtId="0" fontId="21" fillId="0" borderId="73" xfId="5" applyFont="1" applyBorder="1" applyAlignment="1">
      <alignment horizontal="center" vertical="center"/>
    </xf>
    <xf numFmtId="164" fontId="22" fillId="0" borderId="74" xfId="5" applyNumberFormat="1" applyFont="1" applyBorder="1" applyAlignment="1">
      <alignment horizontal="center" vertical="center"/>
    </xf>
    <xf numFmtId="164" fontId="22" fillId="0" borderId="75" xfId="5" applyNumberFormat="1" applyFont="1" applyBorder="1" applyAlignment="1">
      <alignment horizontal="center" vertical="center"/>
    </xf>
    <xf numFmtId="0" fontId="34" fillId="0" borderId="76" xfId="5" applyFont="1" applyBorder="1" applyAlignment="1" applyProtection="1">
      <alignment horizontal="center" vertical="center" wrapText="1"/>
      <protection locked="0"/>
    </xf>
    <xf numFmtId="0" fontId="34" fillId="0" borderId="77" xfId="5" applyFont="1" applyBorder="1" applyAlignment="1" applyProtection="1">
      <alignment horizontal="center" vertical="center" wrapText="1"/>
      <protection locked="0"/>
    </xf>
    <xf numFmtId="0" fontId="30" fillId="0" borderId="11" xfId="5" applyFont="1" applyBorder="1" applyAlignment="1">
      <alignment horizontal="center"/>
    </xf>
    <xf numFmtId="0" fontId="30" fillId="0" borderId="79" xfId="5" applyFont="1" applyBorder="1" applyAlignment="1">
      <alignment horizontal="center"/>
    </xf>
    <xf numFmtId="0" fontId="29" fillId="0" borderId="81" xfId="5" applyFont="1" applyBorder="1" applyAlignment="1" applyProtection="1">
      <alignment horizontal="left"/>
      <protection locked="0"/>
    </xf>
    <xf numFmtId="0" fontId="29" fillId="0" borderId="82" xfId="5" applyFont="1" applyBorder="1" applyAlignment="1" applyProtection="1">
      <alignment horizontal="left"/>
      <protection locked="0"/>
    </xf>
    <xf numFmtId="0" fontId="23" fillId="0" borderId="52" xfId="5" applyFont="1" applyBorder="1" applyAlignment="1">
      <alignment horizontal="center" vertical="center" wrapText="1"/>
    </xf>
    <xf numFmtId="0" fontId="23" fillId="0" borderId="0" xfId="5" applyFont="1" applyAlignment="1">
      <alignment horizontal="center" vertical="center" wrapText="1"/>
    </xf>
    <xf numFmtId="0" fontId="23" fillId="0" borderId="53" xfId="5" applyFont="1" applyBorder="1" applyAlignment="1">
      <alignment horizontal="center" vertical="center" wrapText="1"/>
    </xf>
    <xf numFmtId="0" fontId="23" fillId="0" borderId="62" xfId="5" applyFont="1" applyBorder="1" applyAlignment="1">
      <alignment horizontal="center" vertical="center" wrapText="1"/>
    </xf>
    <xf numFmtId="0" fontId="23" fillId="0" borderId="55" xfId="5" applyFont="1" applyBorder="1" applyAlignment="1">
      <alignment horizontal="center" vertical="center" wrapText="1"/>
    </xf>
    <xf numFmtId="0" fontId="23" fillId="0" borderId="56" xfId="5" applyFont="1" applyBorder="1" applyAlignment="1">
      <alignment horizontal="center" vertical="center" wrapText="1"/>
    </xf>
    <xf numFmtId="0" fontId="34" fillId="0" borderId="2" xfId="5" applyFont="1" applyBorder="1" applyAlignment="1" applyProtection="1">
      <alignment horizontal="center" vertical="center" wrapText="1"/>
      <protection locked="0"/>
    </xf>
    <xf numFmtId="0" fontId="34" fillId="0" borderId="3" xfId="5" applyFont="1" applyBorder="1" applyAlignment="1" applyProtection="1">
      <alignment horizontal="center" vertical="center" wrapText="1"/>
      <protection locked="0"/>
    </xf>
    <xf numFmtId="0" fontId="29" fillId="0" borderId="83" xfId="5" applyFont="1" applyBorder="1" applyAlignment="1" applyProtection="1">
      <alignment horizontal="left"/>
      <protection locked="0"/>
    </xf>
    <xf numFmtId="0" fontId="29" fillId="0" borderId="67" xfId="5" applyFont="1" applyBorder="1" applyAlignment="1" applyProtection="1">
      <alignment horizontal="left"/>
      <protection locked="0"/>
    </xf>
    <xf numFmtId="0" fontId="33" fillId="0" borderId="83" xfId="5" applyFont="1" applyBorder="1" applyAlignment="1" applyProtection="1">
      <alignment horizontal="left" indent="1"/>
      <protection locked="0"/>
    </xf>
    <xf numFmtId="0" fontId="33" fillId="0" borderId="67" xfId="5" applyFont="1" applyBorder="1" applyAlignment="1" applyProtection="1">
      <alignment horizontal="left" indent="1"/>
      <protection locked="0"/>
    </xf>
    <xf numFmtId="0" fontId="33" fillId="0" borderId="33" xfId="5" applyFont="1" applyBorder="1" applyAlignment="1" applyProtection="1">
      <alignment horizontal="left" indent="1"/>
      <protection locked="0"/>
    </xf>
    <xf numFmtId="0" fontId="33" fillId="0" borderId="83" xfId="5" applyFont="1" applyBorder="1" applyAlignment="1" applyProtection="1">
      <alignment horizontal="left" indent="2"/>
      <protection locked="0"/>
    </xf>
    <xf numFmtId="0" fontId="33" fillId="0" borderId="67" xfId="5" applyFont="1" applyBorder="1" applyAlignment="1" applyProtection="1">
      <alignment horizontal="left" indent="2"/>
      <protection locked="0"/>
    </xf>
    <xf numFmtId="0" fontId="29" fillId="0" borderId="83" xfId="5" applyFont="1" applyBorder="1" applyAlignment="1" applyProtection="1">
      <alignment horizontal="left" indent="1"/>
      <protection locked="0"/>
    </xf>
    <xf numFmtId="0" fontId="29" fillId="0" borderId="67" xfId="5" applyFont="1" applyBorder="1" applyAlignment="1" applyProtection="1">
      <alignment horizontal="left" indent="1"/>
      <protection locked="0"/>
    </xf>
  </cellXfs>
  <cellStyles count="10">
    <cellStyle name="Currency" xfId="1" builtinId="4"/>
    <cellStyle name="Currency 2" xfId="6" xr:uid="{9C67E6F2-A5A8-45F2-84EB-0F2400D7F23D}"/>
    <cellStyle name="Currency 3" xfId="9" xr:uid="{518C9D73-EC0D-4DD9-B4AD-B7D8EEB5D792}"/>
    <cellStyle name="Normal" xfId="0" builtinId="0"/>
    <cellStyle name="Normal 13" xfId="3" xr:uid="{1B00C9B4-E58A-4257-BABF-37AD3A6F575A}"/>
    <cellStyle name="Normal 2" xfId="2" xr:uid="{F933C07E-644F-4C58-8DF8-13AC1DE23450}"/>
    <cellStyle name="Normal 3" xfId="4" xr:uid="{F420D13F-502C-45BB-8F78-2A92B2165559}"/>
    <cellStyle name="Normal_Draft 1 Baseline SOW" xfId="5" xr:uid="{0AE88806-4FB0-44F6-BB72-3A97C77925B6}"/>
    <cellStyle name="Note" xfId="8" builtinId="10"/>
    <cellStyle name="Percent 2" xfId="7" xr:uid="{09467144-1C2E-4B04-A410-C79D095CC4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xdr:row>
          <xdr:rowOff>66675</xdr:rowOff>
        </xdr:from>
        <xdr:to>
          <xdr:col>0</xdr:col>
          <xdr:colOff>0</xdr:colOff>
          <xdr:row>2</xdr:row>
          <xdr:rowOff>238125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U" sz="1200" b="1" i="0" u="none" strike="noStrike" baseline="0">
                  <a:solidFill>
                    <a:srgbClr val="000000"/>
                  </a:solidFill>
                  <a:latin typeface="Arial"/>
                  <a:cs typeface="Arial"/>
                </a:rPr>
                <a:t>Print All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2</xdr:row>
          <xdr:rowOff>142875</xdr:rowOff>
        </xdr:from>
        <xdr:to>
          <xdr:col>14</xdr:col>
          <xdr:colOff>0</xdr:colOff>
          <xdr:row>4</xdr:row>
          <xdr:rowOff>38100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U" sz="1200" b="1" i="0" u="none" strike="noStrike" baseline="0">
                  <a:solidFill>
                    <a:srgbClr val="000000"/>
                  </a:solidFill>
                  <a:latin typeface="Arial"/>
                  <a:cs typeface="Arial"/>
                </a:rPr>
                <a:t>Print All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xdr:row>
          <xdr:rowOff>66675</xdr:rowOff>
        </xdr:from>
        <xdr:to>
          <xdr:col>0</xdr:col>
          <xdr:colOff>0</xdr:colOff>
          <xdr:row>2</xdr:row>
          <xdr:rowOff>238125</xdr:rowOff>
        </xdr:to>
        <xdr:sp macro="" textlink="">
          <xdr:nvSpPr>
            <xdr:cNvPr id="2051" name="Button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U" sz="12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xdr:row>
          <xdr:rowOff>352425</xdr:rowOff>
        </xdr:from>
        <xdr:to>
          <xdr:col>14</xdr:col>
          <xdr:colOff>0</xdr:colOff>
          <xdr:row>2</xdr:row>
          <xdr:rowOff>76200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U" sz="12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xdr:row>
          <xdr:rowOff>47625</xdr:rowOff>
        </xdr:from>
        <xdr:to>
          <xdr:col>14</xdr:col>
          <xdr:colOff>0</xdr:colOff>
          <xdr:row>2</xdr:row>
          <xdr:rowOff>257175</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U" sz="1400" b="1" i="0" u="none" strike="noStrike" baseline="0">
                  <a:solidFill>
                    <a:srgbClr val="000000"/>
                  </a:solidFill>
                  <a:latin typeface="Arial"/>
                  <a:cs typeface="Arial"/>
                </a:rPr>
                <a:t>Print All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0</xdr:row>
          <xdr:rowOff>114300</xdr:rowOff>
        </xdr:from>
        <xdr:to>
          <xdr:col>14</xdr:col>
          <xdr:colOff>0</xdr:colOff>
          <xdr:row>1</xdr:row>
          <xdr:rowOff>9525</xdr:rowOff>
        </xdr:to>
        <xdr:sp macro="" textlink="">
          <xdr:nvSpPr>
            <xdr:cNvPr id="2054" name="Button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U" sz="1400" b="1" i="0" u="none" strike="noStrike" baseline="0">
                  <a:solidFill>
                    <a:srgbClr val="000000"/>
                  </a:solidFill>
                  <a:latin typeface="Arial"/>
                  <a:cs typeface="Arial"/>
                </a:rPr>
                <a:t>Print</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et/AppData/Local/Temp/Draft%20CW%20Budget%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4PMCMWF/AppData/Local/Microsoft/Windows/INetCache/Content.Outlook/Q2W4LZLC/Japanese%20Creek%20Feasibility%20Budget.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J3PP9MJT\Desktop\IIS%20Umatac\Cost%20budget\Tchamdja%20-%20Project%20-%20NWW%20Budgetary%20.xlsx" TargetMode="External"/><Relationship Id="rId1" Type="http://schemas.openxmlformats.org/officeDocument/2006/relationships/externalLinkPath" Target="/Users/J3PP9MJT/Desktop/IIS%20Umatac/Cost%20budget/Tchamdja%20-%20Project%20-%20NWW%20Budgetary%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Br"/>
      <sheetName val="CE1"/>
      <sheetName val="CE2"/>
      <sheetName val="CT1"/>
      <sheetName val="CT2"/>
      <sheetName val="ES1"/>
      <sheetName val="ES2"/>
      <sheetName val="M1"/>
      <sheetName val="M2"/>
      <sheetName val="M3"/>
      <sheetName val="SG1"/>
      <sheetName val="SG2"/>
      <sheetName val="SP1"/>
      <sheetName val="SP2"/>
      <sheetName val="SY1"/>
      <sheetName val="SY2"/>
      <sheetName val="Sheet1"/>
      <sheetName val="Sheet2"/>
    </sheetNames>
    <sheetDataSet>
      <sheetData sheetId="0" refreshError="1">
        <row r="57">
          <cell r="B57">
            <v>211</v>
          </cell>
        </row>
      </sheetData>
      <sheetData sheetId="1" refreshError="1">
        <row r="23">
          <cell r="B23">
            <v>0</v>
          </cell>
          <cell r="C23">
            <v>0</v>
          </cell>
          <cell r="E23">
            <v>0</v>
          </cell>
        </row>
      </sheetData>
      <sheetData sheetId="2" refreshError="1">
        <row r="39">
          <cell r="B39">
            <v>0</v>
          </cell>
          <cell r="C39">
            <v>0</v>
          </cell>
          <cell r="E39">
            <v>0</v>
          </cell>
        </row>
      </sheetData>
      <sheetData sheetId="3" refreshError="1">
        <row r="35">
          <cell r="E35">
            <v>0</v>
          </cell>
        </row>
      </sheetData>
      <sheetData sheetId="4" refreshError="1">
        <row r="40">
          <cell r="B40">
            <v>0</v>
          </cell>
          <cell r="C40">
            <v>0</v>
          </cell>
          <cell r="E40">
            <v>0</v>
          </cell>
        </row>
      </sheetData>
      <sheetData sheetId="5" refreshError="1">
        <row r="31">
          <cell r="E31">
            <v>0</v>
          </cell>
        </row>
      </sheetData>
      <sheetData sheetId="6" refreshError="1">
        <row r="45">
          <cell r="B45">
            <v>0</v>
          </cell>
          <cell r="C45">
            <v>0</v>
          </cell>
          <cell r="E45">
            <v>0</v>
          </cell>
        </row>
      </sheetData>
      <sheetData sheetId="7" refreshError="1">
        <row r="33">
          <cell r="E33">
            <v>0</v>
          </cell>
        </row>
      </sheetData>
      <sheetData sheetId="8" refreshError="1">
        <row r="40">
          <cell r="B40">
            <v>0</v>
          </cell>
          <cell r="C40">
            <v>0</v>
          </cell>
          <cell r="E40">
            <v>0</v>
          </cell>
        </row>
      </sheetData>
      <sheetData sheetId="9" refreshError="1">
        <row r="38">
          <cell r="E38">
            <v>0</v>
          </cell>
        </row>
      </sheetData>
      <sheetData sheetId="10" refreshError="1"/>
      <sheetData sheetId="11" refreshError="1">
        <row r="49">
          <cell r="B49">
            <v>0</v>
          </cell>
          <cell r="C49">
            <v>0</v>
          </cell>
          <cell r="E49">
            <v>0</v>
          </cell>
        </row>
      </sheetData>
      <sheetData sheetId="12" refreshError="1">
        <row r="54">
          <cell r="E54">
            <v>0</v>
          </cell>
        </row>
      </sheetData>
      <sheetData sheetId="13" refreshError="1">
        <row r="22">
          <cell r="B22">
            <v>0</v>
          </cell>
          <cell r="C22">
            <v>0</v>
          </cell>
          <cell r="E22">
            <v>0</v>
          </cell>
        </row>
      </sheetData>
      <sheetData sheetId="14" refreshError="1">
        <row r="36">
          <cell r="E36">
            <v>0</v>
          </cell>
        </row>
      </sheetData>
      <sheetData sheetId="15" refreshError="1"/>
      <sheetData sheetId="16" refreshError="1">
        <row r="31">
          <cell r="E31">
            <v>0</v>
          </cell>
        </row>
      </sheetData>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heetName val="ArchResource"/>
      <sheetName val="Tasks"/>
      <sheetName val="EmpData"/>
      <sheetName val="Japanese Creek Feasibility Budg"/>
    </sheetNames>
    <sheetDataSet>
      <sheetData sheetId="0"/>
      <sheetData sheetId="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FY'24"/>
      <sheetName val="FY'22"/>
    </sheetNames>
    <sheetDataSet>
      <sheetData sheetId="0">
        <row r="1">
          <cell r="K1" t="str">
            <v>Cost Engineering</v>
          </cell>
        </row>
        <row r="3">
          <cell r="A3" t="str">
            <v xml:space="preserve">Umatac River Maintenance and Bank Stabilization </v>
          </cell>
        </row>
        <row r="5">
          <cell r="H5"/>
          <cell r="K5"/>
        </row>
        <row r="7">
          <cell r="A7" t="str">
            <v>Michael P. Jacobs</v>
          </cell>
          <cell r="F7" t="str">
            <v>NWW EC-E</v>
          </cell>
          <cell r="M7" t="str">
            <v>G4L1X00</v>
          </cell>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Jessie" id="{1D66BF1A-809B-42F1-80C8-B537A6B5C29A}" userId="S::Jessie.K.Paahana@usace.army.mil::8d841a23-ef99-4b0d-9cbc-2b71cf995b6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4" dT="2024-07-02T19:09:26.54" personId="{1D66BF1A-809B-42F1-80C8-B537A6B5C29A}" id="{7529061F-06E7-4802-A68E-099FD08CCFC3}">
    <text>I bumped this up to 8 to include work at the desk for due outs from initial meeting</text>
  </threadedComment>
  <threadedComment ref="F7" dT="2024-07-02T19:09:59.24" personId="{1D66BF1A-809B-42F1-80C8-B537A6B5C29A}" id="{D91ED619-4146-4955-A96A-2A630EAD30F6}">
    <text>I added hours for scope negotiation</text>
  </threadedComment>
  <threadedComment ref="H19" dT="2024-07-05T09:38:37.00" personId="{1D66BF1A-809B-42F1-80C8-B537A6B5C29A}" id="{E0B085E1-D475-4CB7-958A-7D247D669F95}">
    <text>Lets add relevant predecessors so we are clear that accomplishing env task(s) is contingent upon pertinent and timely info.</text>
  </threadedComment>
  <threadedComment ref="A23" dT="2024-07-05T09:49:09.96" personId="{1D66BF1A-809B-42F1-80C8-B537A6B5C29A}" id="{5C3F4471-8A56-4AFA-860A-A7406858FAD9}">
    <text>Since this is IIS, we would be drafting the DA permit application for OIA or BSP to submit to regulatory and need to account for that time under task 27 and eliinate task 24 as it is part of the permit application. We do not traditionally submit a Section 404(b)(1) analysis in the DA permit application; traditionally this is the responsibility of Regulatory to do so I would eiliminate the 404(b)(1) task. This section should more accurately represent applying for a permit. And in this case, if there is a 404 discharge, then we should also be preparing a Section 401 WQC application for which I have no experience to advise on the scope or timeline associated with a W!C application in Guam. Likewise I cannot advise on the timeline for a 402 permit application, but I know Jessica podoski recently prepared and submitted to Guam for Agana SBH O&amp;M repairs and noted significant differences btwn the Hawaii State and USEPA (Guam) offices for 402 and she could better advise on required time.</text>
  </threadedComment>
  <threadedComment ref="A25" dT="2024-07-02T20:12:16.30" personId="{1D66BF1A-809B-42F1-80C8-B537A6B5C29A}" id="{76A1C834-878B-4904-9959-9F415EFC813D}">
    <text>Does red text denote an option? I did not hear mention of ocean disposal associated with this action as it appears BSP wants to dredge and beneficially reuse for bank stabilization. In that case, Section 103 would not be applicable. Please advise.</text>
  </threadedComment>
  <threadedComment ref="G34" dT="2024-07-05T09:43:00.20" personId="{1D66BF1A-809B-42F1-80C8-B537A6B5C29A}" id="{A5CFB026-5968-4916-91CB-DB3B1655EDDE}">
    <text>Recommend eliminating dqc hours for GHG, EJ and public scoping mtg. These should be accounted for in dqc of the nepa doc</text>
  </threadedComment>
  <threadedComment ref="F44" dT="2024-07-05T09:40:22.07" personId="{1D66BF1A-809B-42F1-80C8-B537A6B5C29A}" id="{E2214FA9-65B1-46FA-AD6B-ECD891E28BBE}">
    <text>Added time for routing/transmittal/briefing/coordination for signature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
  <sheetViews>
    <sheetView workbookViewId="0">
      <selection sqref="A1:D23"/>
    </sheetView>
  </sheetViews>
  <sheetFormatPr defaultRowHeight="15" x14ac:dyDescent="0.25"/>
  <cols>
    <col min="1" max="1" width="17.85546875" customWidth="1"/>
    <col min="2" max="2" width="12.42578125" customWidth="1"/>
    <col min="3" max="3" width="14.42578125" customWidth="1"/>
    <col min="4" max="4" width="14.42578125" bestFit="1" customWidth="1"/>
    <col min="5" max="5" width="3.42578125" customWidth="1"/>
    <col min="6" max="6" width="53.85546875" style="477" customWidth="1"/>
  </cols>
  <sheetData>
    <row r="1" spans="1:8" x14ac:dyDescent="0.25">
      <c r="A1" s="120" t="s">
        <v>19</v>
      </c>
      <c r="B1" s="78"/>
      <c r="C1" s="78"/>
      <c r="D1" s="78"/>
    </row>
    <row r="2" spans="1:8" x14ac:dyDescent="0.25">
      <c r="A2" s="78"/>
      <c r="B2" s="78"/>
      <c r="C2" s="78"/>
      <c r="D2" s="78"/>
    </row>
    <row r="3" spans="1:8" x14ac:dyDescent="0.25">
      <c r="A3" s="78"/>
      <c r="B3" s="120" t="s">
        <v>4</v>
      </c>
      <c r="C3" s="472">
        <v>0</v>
      </c>
      <c r="D3" s="78"/>
    </row>
    <row r="4" spans="1:8" x14ac:dyDescent="0.25">
      <c r="A4" s="78"/>
      <c r="B4" s="78"/>
      <c r="C4" s="120"/>
      <c r="D4" s="120"/>
    </row>
    <row r="5" spans="1:8" x14ac:dyDescent="0.25">
      <c r="A5" s="78"/>
      <c r="B5" s="78"/>
      <c r="C5" s="120" t="s">
        <v>0</v>
      </c>
      <c r="D5" s="120" t="s">
        <v>1</v>
      </c>
      <c r="E5" s="1"/>
      <c r="F5" s="476" t="s">
        <v>12</v>
      </c>
    </row>
    <row r="6" spans="1:8" ht="30" x14ac:dyDescent="0.25">
      <c r="A6" s="120" t="s">
        <v>8</v>
      </c>
      <c r="B6" s="78"/>
      <c r="C6" s="121">
        <f>C3*0.04</f>
        <v>0</v>
      </c>
      <c r="D6" s="121">
        <f>C3*0.01</f>
        <v>0</v>
      </c>
      <c r="F6" s="477" t="s">
        <v>17</v>
      </c>
    </row>
    <row r="7" spans="1:8" x14ac:dyDescent="0.25">
      <c r="A7" s="120" t="s">
        <v>316</v>
      </c>
      <c r="B7" s="78"/>
      <c r="C7" s="121"/>
      <c r="D7" s="121"/>
    </row>
    <row r="8" spans="1:8" x14ac:dyDescent="0.25">
      <c r="A8" s="78"/>
      <c r="B8" s="464" t="s">
        <v>2</v>
      </c>
      <c r="C8" s="465">
        <v>60000</v>
      </c>
      <c r="D8" s="465">
        <v>10000</v>
      </c>
      <c r="E8" s="4"/>
      <c r="F8" s="478" t="s">
        <v>16</v>
      </c>
      <c r="G8" s="4"/>
    </row>
    <row r="9" spans="1:8" x14ac:dyDescent="0.25">
      <c r="A9" s="78"/>
      <c r="B9" s="78" t="s">
        <v>3</v>
      </c>
      <c r="C9" s="466">
        <v>40000</v>
      </c>
      <c r="D9" s="121"/>
      <c r="F9" s="477" t="s">
        <v>13</v>
      </c>
    </row>
    <row r="10" spans="1:8" x14ac:dyDescent="0.25">
      <c r="A10" s="78"/>
      <c r="B10" s="78" t="s">
        <v>9</v>
      </c>
      <c r="C10" s="467">
        <v>27000</v>
      </c>
      <c r="D10" s="121"/>
      <c r="F10" s="477" t="s">
        <v>18</v>
      </c>
    </row>
    <row r="11" spans="1:8" x14ac:dyDescent="0.25">
      <c r="A11" s="78"/>
      <c r="B11" s="464" t="s">
        <v>10</v>
      </c>
      <c r="C11" s="468">
        <v>115000</v>
      </c>
      <c r="D11" s="469"/>
      <c r="E11" s="4"/>
      <c r="F11" s="478" t="s">
        <v>20</v>
      </c>
      <c r="G11" s="4"/>
      <c r="H11" s="4"/>
    </row>
    <row r="12" spans="1:8" x14ac:dyDescent="0.25">
      <c r="A12" s="120" t="s">
        <v>6</v>
      </c>
      <c r="B12" s="78"/>
      <c r="C12" s="466">
        <v>30000</v>
      </c>
      <c r="D12" s="121"/>
      <c r="F12" s="477" t="s">
        <v>13</v>
      </c>
    </row>
    <row r="13" spans="1:8" ht="30" x14ac:dyDescent="0.25">
      <c r="A13" s="120" t="s">
        <v>315</v>
      </c>
      <c r="B13" s="78"/>
      <c r="C13" s="467">
        <v>310000</v>
      </c>
      <c r="D13" s="121">
        <v>10000</v>
      </c>
      <c r="F13" s="477" t="s">
        <v>14</v>
      </c>
    </row>
    <row r="14" spans="1:8" ht="30" x14ac:dyDescent="0.25">
      <c r="A14" s="120" t="s">
        <v>314</v>
      </c>
      <c r="B14" s="78"/>
      <c r="C14" s="467">
        <f>73372+4348</f>
        <v>77720</v>
      </c>
      <c r="D14" s="467">
        <v>135058</v>
      </c>
      <c r="F14" s="477" t="s">
        <v>14</v>
      </c>
    </row>
    <row r="15" spans="1:8" x14ac:dyDescent="0.25">
      <c r="A15" s="78"/>
      <c r="B15" s="78"/>
      <c r="C15" s="467"/>
      <c r="D15" s="467"/>
    </row>
    <row r="16" spans="1:8" ht="30" x14ac:dyDescent="0.25">
      <c r="A16" s="120" t="s">
        <v>313</v>
      </c>
      <c r="B16" s="78"/>
      <c r="C16" s="121"/>
      <c r="D16" s="121"/>
      <c r="F16" s="477" t="s">
        <v>317</v>
      </c>
    </row>
    <row r="17" spans="1:8" x14ac:dyDescent="0.25">
      <c r="A17" s="78"/>
      <c r="B17" s="78" t="s">
        <v>11</v>
      </c>
      <c r="C17" s="121">
        <f>(D18*0.1)</f>
        <v>95000</v>
      </c>
      <c r="D17" s="121"/>
      <c r="F17" s="477" t="s">
        <v>15</v>
      </c>
    </row>
    <row r="18" spans="1:8" x14ac:dyDescent="0.25">
      <c r="A18" s="78"/>
      <c r="B18" s="78" t="s">
        <v>1</v>
      </c>
      <c r="C18" s="121"/>
      <c r="D18" s="121">
        <v>950000</v>
      </c>
      <c r="F18" s="479" t="s">
        <v>21</v>
      </c>
      <c r="G18" s="463"/>
      <c r="H18" s="463"/>
    </row>
    <row r="19" spans="1:8" x14ac:dyDescent="0.25">
      <c r="A19" s="78"/>
      <c r="B19" s="470" t="s">
        <v>10</v>
      </c>
      <c r="C19" s="471">
        <v>177000</v>
      </c>
      <c r="D19" s="471"/>
      <c r="E19" s="3"/>
      <c r="F19" s="477" t="s">
        <v>20</v>
      </c>
    </row>
    <row r="20" spans="1:8" x14ac:dyDescent="0.25">
      <c r="A20" s="78"/>
      <c r="B20" s="474"/>
      <c r="C20" s="475"/>
      <c r="D20" s="475"/>
      <c r="E20" s="463"/>
    </row>
    <row r="21" spans="1:8" x14ac:dyDescent="0.25">
      <c r="A21" s="120" t="s">
        <v>7</v>
      </c>
      <c r="B21" s="78"/>
      <c r="C21" s="466">
        <f>D18*0.11</f>
        <v>104500</v>
      </c>
      <c r="D21" s="121"/>
    </row>
    <row r="22" spans="1:8" x14ac:dyDescent="0.25">
      <c r="A22" s="78"/>
      <c r="B22" s="78"/>
      <c r="C22" s="121"/>
      <c r="D22" s="121"/>
    </row>
    <row r="23" spans="1:8" x14ac:dyDescent="0.25">
      <c r="A23" s="120" t="s">
        <v>5</v>
      </c>
      <c r="B23" s="78"/>
      <c r="C23" s="473">
        <f>SUM(C6:C21)</f>
        <v>1036220</v>
      </c>
      <c r="D23" s="473">
        <f>SUM(D6:D21)</f>
        <v>1105058</v>
      </c>
      <c r="F23" s="480">
        <f>D23+C23</f>
        <v>2141278</v>
      </c>
    </row>
  </sheetData>
  <conditionalFormatting sqref="F23">
    <cfRule type="colorScale" priority="1">
      <colorScale>
        <cfvo type="num" val="1650000"/>
        <cfvo type="num" val="1800000"/>
        <color rgb="FF92D050"/>
        <color rgb="FFFF0000"/>
      </colorScale>
    </cfRule>
  </conditionalFormatting>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0265B-3BE1-4ABD-AA96-4AFA40C86DB0}">
  <dimension ref="A1:I46"/>
  <sheetViews>
    <sheetView tabSelected="1" workbookViewId="0">
      <selection activeCell="A9" sqref="A9"/>
    </sheetView>
  </sheetViews>
  <sheetFormatPr defaultColWidth="8.85546875" defaultRowHeight="15" x14ac:dyDescent="0.25"/>
  <cols>
    <col min="1" max="1" width="65.42578125" style="10" customWidth="1"/>
    <col min="2" max="2" width="8.85546875" style="11"/>
    <col min="3" max="4" width="14.42578125" style="10" customWidth="1"/>
    <col min="5" max="5" width="16.5703125" style="9" customWidth="1"/>
    <col min="6" max="6" width="8.85546875" style="8"/>
    <col min="7" max="7" width="8.85546875" style="7"/>
    <col min="8" max="8" width="11.140625" style="6" bestFit="1" customWidth="1"/>
    <col min="9" max="16384" width="8.85546875" style="5"/>
  </cols>
  <sheetData>
    <row r="1" spans="1:9" x14ac:dyDescent="0.25">
      <c r="A1" s="54" t="s">
        <v>69</v>
      </c>
      <c r="B1" s="50" t="s">
        <v>68</v>
      </c>
      <c r="C1" s="54" t="s">
        <v>67</v>
      </c>
      <c r="D1" s="54" t="s">
        <v>66</v>
      </c>
      <c r="E1" s="24" t="s">
        <v>65</v>
      </c>
      <c r="F1" s="53" t="s">
        <v>64</v>
      </c>
      <c r="G1" s="52" t="s">
        <v>63</v>
      </c>
      <c r="I1" s="51"/>
    </row>
    <row r="2" spans="1:9" x14ac:dyDescent="0.25">
      <c r="A2" s="18" t="s">
        <v>62</v>
      </c>
      <c r="B2" s="50">
        <v>0</v>
      </c>
      <c r="C2" s="43">
        <v>45962</v>
      </c>
      <c r="D2" s="43"/>
      <c r="E2" s="24"/>
    </row>
    <row r="3" spans="1:9" x14ac:dyDescent="0.25">
      <c r="B3" s="17"/>
      <c r="C3" s="48"/>
      <c r="D3" s="48"/>
      <c r="E3" s="47"/>
    </row>
    <row r="4" spans="1:9" x14ac:dyDescent="0.25">
      <c r="A4" s="18" t="s">
        <v>61</v>
      </c>
      <c r="B4" s="17">
        <v>7</v>
      </c>
      <c r="C4" s="49">
        <f>C2</f>
        <v>45962</v>
      </c>
      <c r="D4" s="48">
        <f>C4+7</f>
        <v>45969</v>
      </c>
      <c r="E4" s="47"/>
      <c r="F4" s="8">
        <v>8</v>
      </c>
      <c r="G4" s="7">
        <v>4</v>
      </c>
    </row>
    <row r="5" spans="1:9" x14ac:dyDescent="0.25">
      <c r="A5" s="20" t="s">
        <v>60</v>
      </c>
      <c r="B5" s="17" t="s">
        <v>59</v>
      </c>
      <c r="C5" s="49">
        <f>D4</f>
        <v>45969</v>
      </c>
      <c r="D5" s="48">
        <f>C5+5</f>
        <v>45974</v>
      </c>
      <c r="E5" s="47"/>
      <c r="F5" s="8">
        <v>24</v>
      </c>
      <c r="G5" s="7">
        <v>4</v>
      </c>
    </row>
    <row r="6" spans="1:9" x14ac:dyDescent="0.25">
      <c r="A6" s="18" t="s">
        <v>58</v>
      </c>
      <c r="B6" s="11">
        <v>7</v>
      </c>
      <c r="C6" s="43">
        <f>C4</f>
        <v>45962</v>
      </c>
      <c r="D6" s="43">
        <f>C6+B6</f>
        <v>45969</v>
      </c>
      <c r="E6" s="24"/>
      <c r="F6" s="8">
        <v>24</v>
      </c>
      <c r="G6" s="7">
        <v>8</v>
      </c>
    </row>
    <row r="7" spans="1:9" x14ac:dyDescent="0.25">
      <c r="A7" s="18" t="s">
        <v>57</v>
      </c>
      <c r="C7" s="43"/>
      <c r="D7" s="43"/>
      <c r="E7" s="24"/>
      <c r="F7" s="8">
        <v>12</v>
      </c>
      <c r="G7" s="7">
        <v>4</v>
      </c>
      <c r="H7" s="46">
        <v>70000</v>
      </c>
    </row>
    <row r="8" spans="1:9" x14ac:dyDescent="0.25">
      <c r="A8" s="10" t="s">
        <v>56</v>
      </c>
    </row>
    <row r="9" spans="1:9" x14ac:dyDescent="0.25">
      <c r="A9" s="33" t="s">
        <v>55</v>
      </c>
      <c r="B9" s="45">
        <v>7</v>
      </c>
      <c r="C9" s="43">
        <f>C2</f>
        <v>45962</v>
      </c>
      <c r="D9" s="43">
        <f>C9+B9</f>
        <v>45969</v>
      </c>
      <c r="E9" s="24"/>
      <c r="F9" s="8">
        <v>8</v>
      </c>
      <c r="G9" s="7">
        <v>1</v>
      </c>
    </row>
    <row r="10" spans="1:9" x14ac:dyDescent="0.25">
      <c r="A10" s="33" t="s">
        <v>54</v>
      </c>
      <c r="B10" s="45">
        <v>7</v>
      </c>
      <c r="C10" s="43">
        <f>C9</f>
        <v>45962</v>
      </c>
      <c r="D10" s="43">
        <f>C10+B9</f>
        <v>45969</v>
      </c>
      <c r="E10" s="24"/>
      <c r="F10" s="8">
        <v>8</v>
      </c>
      <c r="G10" s="7">
        <v>1</v>
      </c>
    </row>
    <row r="11" spans="1:9" x14ac:dyDescent="0.25">
      <c r="A11" s="33" t="s">
        <v>53</v>
      </c>
      <c r="B11" s="44">
        <v>7</v>
      </c>
      <c r="C11" s="43">
        <f>C10</f>
        <v>45962</v>
      </c>
      <c r="D11" s="43">
        <f>C11+B9</f>
        <v>45969</v>
      </c>
      <c r="E11" s="24"/>
      <c r="F11" s="8">
        <v>8</v>
      </c>
      <c r="G11" s="7">
        <v>1</v>
      </c>
    </row>
    <row r="12" spans="1:9" x14ac:dyDescent="0.25">
      <c r="A12" s="33" t="s">
        <v>52</v>
      </c>
      <c r="B12" s="25">
        <v>30</v>
      </c>
      <c r="C12" s="15">
        <f>D11</f>
        <v>45969</v>
      </c>
      <c r="D12" s="15">
        <f t="shared" ref="D12:D17" si="0">C12+B12</f>
        <v>45999</v>
      </c>
      <c r="E12" s="24"/>
    </row>
    <row r="13" spans="1:9" x14ac:dyDescent="0.25">
      <c r="A13" s="33" t="s">
        <v>51</v>
      </c>
      <c r="B13" s="25">
        <v>14</v>
      </c>
      <c r="C13" s="15">
        <f>C9</f>
        <v>45962</v>
      </c>
      <c r="D13" s="15">
        <f t="shared" si="0"/>
        <v>45976</v>
      </c>
      <c r="E13" s="24"/>
      <c r="F13" s="8">
        <v>40</v>
      </c>
      <c r="G13" s="7">
        <v>24</v>
      </c>
    </row>
    <row r="14" spans="1:9" x14ac:dyDescent="0.25">
      <c r="A14" s="33" t="s">
        <v>35</v>
      </c>
      <c r="B14" s="25">
        <v>7</v>
      </c>
      <c r="C14" s="15">
        <f>D13</f>
        <v>45976</v>
      </c>
      <c r="D14" s="15">
        <f t="shared" si="0"/>
        <v>45983</v>
      </c>
      <c r="E14" s="24"/>
      <c r="F14" s="8">
        <v>5</v>
      </c>
      <c r="G14" s="7">
        <v>1</v>
      </c>
    </row>
    <row r="15" spans="1:9" x14ac:dyDescent="0.25">
      <c r="A15" s="33" t="s">
        <v>34</v>
      </c>
      <c r="B15" s="25">
        <v>1</v>
      </c>
      <c r="C15" s="15">
        <f>D14</f>
        <v>45983</v>
      </c>
      <c r="D15" s="15">
        <f t="shared" si="0"/>
        <v>45984</v>
      </c>
      <c r="E15" s="24"/>
      <c r="F15" s="8">
        <v>4</v>
      </c>
    </row>
    <row r="16" spans="1:9" x14ac:dyDescent="0.25">
      <c r="A16" s="33" t="s">
        <v>50</v>
      </c>
      <c r="B16" s="25">
        <v>30</v>
      </c>
      <c r="C16" s="15">
        <f>D15</f>
        <v>45984</v>
      </c>
      <c r="D16" s="15">
        <f t="shared" si="0"/>
        <v>46014</v>
      </c>
      <c r="E16" s="24"/>
    </row>
    <row r="17" spans="1:8" s="36" customFormat="1" ht="26.25" x14ac:dyDescent="0.25">
      <c r="A17" s="41" t="s">
        <v>49</v>
      </c>
      <c r="B17" s="40">
        <v>180</v>
      </c>
      <c r="C17" s="14">
        <f>D16</f>
        <v>46014</v>
      </c>
      <c r="D17" s="14">
        <f t="shared" si="0"/>
        <v>46194</v>
      </c>
      <c r="E17" s="24" t="s">
        <v>48</v>
      </c>
      <c r="F17" s="39"/>
      <c r="G17" s="38"/>
      <c r="H17" s="37"/>
    </row>
    <row r="18" spans="1:8" s="36" customFormat="1" x14ac:dyDescent="0.25">
      <c r="A18" s="42" t="s">
        <v>47</v>
      </c>
      <c r="B18" s="40"/>
      <c r="C18" s="14"/>
      <c r="D18" s="14"/>
      <c r="E18" s="24"/>
      <c r="F18" s="39"/>
      <c r="G18" s="38"/>
      <c r="H18" s="37"/>
    </row>
    <row r="19" spans="1:8" s="29" customFormat="1" x14ac:dyDescent="0.25">
      <c r="A19" s="35" t="s">
        <v>46</v>
      </c>
      <c r="B19" s="32">
        <v>14</v>
      </c>
      <c r="C19" s="31">
        <f>D13+1</f>
        <v>45977</v>
      </c>
      <c r="D19" s="31">
        <f>C19+B19</f>
        <v>45991</v>
      </c>
      <c r="E19" s="24"/>
      <c r="F19" s="8">
        <v>40</v>
      </c>
      <c r="G19" s="7">
        <v>24</v>
      </c>
      <c r="H19" s="30" t="s">
        <v>45</v>
      </c>
    </row>
    <row r="20" spans="1:8" s="29" customFormat="1" x14ac:dyDescent="0.25">
      <c r="A20" s="33" t="s">
        <v>35</v>
      </c>
      <c r="B20" s="32">
        <v>7</v>
      </c>
      <c r="C20" s="31">
        <f>D14+1</f>
        <v>45984</v>
      </c>
      <c r="D20" s="31">
        <f>C20+B20</f>
        <v>45991</v>
      </c>
      <c r="E20" s="24"/>
      <c r="F20" s="8">
        <v>5</v>
      </c>
      <c r="G20" s="7">
        <v>1</v>
      </c>
      <c r="H20" s="30"/>
    </row>
    <row r="21" spans="1:8" s="29" customFormat="1" x14ac:dyDescent="0.25">
      <c r="A21" s="33" t="s">
        <v>34</v>
      </c>
      <c r="B21" s="32">
        <v>1</v>
      </c>
      <c r="C21" s="31">
        <f>D15+1</f>
        <v>45985</v>
      </c>
      <c r="D21" s="31">
        <f>C21+B21</f>
        <v>45986</v>
      </c>
      <c r="E21" s="24"/>
      <c r="F21" s="8">
        <v>4</v>
      </c>
      <c r="G21" s="7"/>
      <c r="H21" s="30"/>
    </row>
    <row r="22" spans="1:8" s="29" customFormat="1" x14ac:dyDescent="0.25">
      <c r="A22" s="35" t="s">
        <v>44</v>
      </c>
      <c r="B22" s="32">
        <v>70</v>
      </c>
      <c r="C22" s="31">
        <f>D16+1</f>
        <v>46015</v>
      </c>
      <c r="D22" s="31">
        <f>C22+B22</f>
        <v>46085</v>
      </c>
      <c r="E22" s="24"/>
      <c r="F22" s="8">
        <v>40</v>
      </c>
      <c r="G22" s="7">
        <v>24</v>
      </c>
      <c r="H22" s="30"/>
    </row>
    <row r="23" spans="1:8" s="29" customFormat="1" x14ac:dyDescent="0.25">
      <c r="A23" s="42" t="s">
        <v>43</v>
      </c>
      <c r="B23" s="32"/>
      <c r="C23" s="31"/>
      <c r="D23" s="31"/>
      <c r="E23" s="24"/>
      <c r="F23" s="8"/>
      <c r="G23" s="7"/>
      <c r="H23" s="30"/>
    </row>
    <row r="24" spans="1:8" s="29" customFormat="1" x14ac:dyDescent="0.25">
      <c r="A24" s="35" t="s">
        <v>42</v>
      </c>
      <c r="B24" s="32">
        <v>14</v>
      </c>
      <c r="C24" s="31">
        <f>D19+1</f>
        <v>45992</v>
      </c>
      <c r="D24" s="31">
        <f>C24+B24</f>
        <v>46006</v>
      </c>
      <c r="E24" s="24"/>
      <c r="F24" s="8">
        <v>40</v>
      </c>
      <c r="G24" s="7">
        <v>24</v>
      </c>
      <c r="H24" s="30"/>
    </row>
    <row r="25" spans="1:8" s="36" customFormat="1" x14ac:dyDescent="0.25">
      <c r="A25" s="41" t="s">
        <v>41</v>
      </c>
      <c r="B25" s="40">
        <v>14</v>
      </c>
      <c r="C25" s="14">
        <f>D24+1</f>
        <v>46007</v>
      </c>
      <c r="D25" s="14">
        <f>C25+B25</f>
        <v>46021</v>
      </c>
      <c r="E25" s="24"/>
      <c r="F25" s="39">
        <v>40</v>
      </c>
      <c r="G25" s="38">
        <v>24</v>
      </c>
      <c r="H25" s="37"/>
    </row>
    <row r="26" spans="1:8" s="29" customFormat="1" x14ac:dyDescent="0.25">
      <c r="A26" s="35" t="s">
        <v>40</v>
      </c>
      <c r="B26" s="32">
        <v>14</v>
      </c>
      <c r="C26" s="31">
        <f>D25+1</f>
        <v>46022</v>
      </c>
      <c r="D26" s="31">
        <f>C26+B26</f>
        <v>46036</v>
      </c>
      <c r="E26" s="24"/>
      <c r="F26" s="8">
        <v>40</v>
      </c>
      <c r="G26" s="7">
        <v>24</v>
      </c>
      <c r="H26" s="30"/>
    </row>
    <row r="27" spans="1:8" s="29" customFormat="1" x14ac:dyDescent="0.25">
      <c r="A27" s="35" t="s">
        <v>39</v>
      </c>
      <c r="B27" s="32"/>
      <c r="C27" s="31"/>
      <c r="D27" s="31"/>
      <c r="E27" s="24"/>
      <c r="F27" s="8"/>
      <c r="G27" s="7"/>
      <c r="H27" s="30"/>
    </row>
    <row r="28" spans="1:8" s="29" customFormat="1" x14ac:dyDescent="0.25">
      <c r="A28" s="35" t="s">
        <v>38</v>
      </c>
      <c r="B28" s="32"/>
      <c r="C28" s="31"/>
      <c r="D28" s="31"/>
      <c r="E28" s="24"/>
      <c r="F28" s="8"/>
      <c r="G28" s="7"/>
      <c r="H28" s="30"/>
    </row>
    <row r="29" spans="1:8" s="29" customFormat="1" x14ac:dyDescent="0.25">
      <c r="A29" s="34" t="s">
        <v>37</v>
      </c>
      <c r="B29" s="32"/>
      <c r="C29" s="31"/>
      <c r="D29" s="31"/>
      <c r="E29" s="24"/>
      <c r="F29" s="8"/>
      <c r="G29" s="7"/>
      <c r="H29" s="30"/>
    </row>
    <row r="30" spans="1:8" s="29" customFormat="1" x14ac:dyDescent="0.25">
      <c r="A30" s="28" t="s">
        <v>36</v>
      </c>
      <c r="B30" s="32">
        <v>14</v>
      </c>
      <c r="C30" s="31">
        <f>D26+1</f>
        <v>46037</v>
      </c>
      <c r="D30" s="31">
        <f t="shared" ref="D30:D41" si="1">C30+B30</f>
        <v>46051</v>
      </c>
      <c r="E30" s="24"/>
      <c r="F30" s="8">
        <v>40</v>
      </c>
      <c r="G30" s="7">
        <v>24</v>
      </c>
      <c r="H30" s="30"/>
    </row>
    <row r="31" spans="1:8" s="29" customFormat="1" x14ac:dyDescent="0.25">
      <c r="A31" s="33" t="s">
        <v>35</v>
      </c>
      <c r="B31" s="32">
        <v>7</v>
      </c>
      <c r="C31" s="31">
        <f>D30+1</f>
        <v>46052</v>
      </c>
      <c r="D31" s="31">
        <f t="shared" si="1"/>
        <v>46059</v>
      </c>
      <c r="E31" s="24"/>
      <c r="F31" s="8">
        <v>5</v>
      </c>
      <c r="G31" s="7">
        <v>1</v>
      </c>
      <c r="H31" s="30"/>
    </row>
    <row r="32" spans="1:8" s="29" customFormat="1" x14ac:dyDescent="0.25">
      <c r="A32" s="33" t="s">
        <v>34</v>
      </c>
      <c r="B32" s="32">
        <v>1</v>
      </c>
      <c r="C32" s="31">
        <f>D31+1</f>
        <v>46060</v>
      </c>
      <c r="D32" s="31">
        <f t="shared" si="1"/>
        <v>46061</v>
      </c>
      <c r="E32" s="24"/>
      <c r="F32" s="8">
        <v>4</v>
      </c>
      <c r="G32" s="7"/>
      <c r="H32" s="30"/>
    </row>
    <row r="33" spans="1:7" x14ac:dyDescent="0.25">
      <c r="A33" s="28" t="s">
        <v>33</v>
      </c>
      <c r="B33" s="25">
        <v>30</v>
      </c>
      <c r="C33" s="15">
        <f>D15</f>
        <v>45984</v>
      </c>
      <c r="D33" s="15">
        <f t="shared" si="1"/>
        <v>46014</v>
      </c>
      <c r="E33" s="14">
        <f>D17+1</f>
        <v>46195</v>
      </c>
    </row>
    <row r="34" spans="1:7" x14ac:dyDescent="0.25">
      <c r="A34" s="27" t="s">
        <v>32</v>
      </c>
      <c r="B34" s="25">
        <v>14</v>
      </c>
      <c r="C34" s="15">
        <f>D14</f>
        <v>45983</v>
      </c>
      <c r="D34" s="15">
        <f t="shared" si="1"/>
        <v>45997</v>
      </c>
      <c r="E34" s="24"/>
      <c r="F34" s="8">
        <v>24</v>
      </c>
      <c r="G34" s="7">
        <v>8</v>
      </c>
    </row>
    <row r="35" spans="1:7" x14ac:dyDescent="0.25">
      <c r="A35" s="26" t="s">
        <v>31</v>
      </c>
      <c r="B35" s="25">
        <v>14</v>
      </c>
      <c r="C35" s="15">
        <f t="shared" ref="C35:C41" si="2">D34</f>
        <v>45997</v>
      </c>
      <c r="D35" s="15">
        <f t="shared" si="1"/>
        <v>46011</v>
      </c>
      <c r="E35" s="24"/>
      <c r="F35" s="8">
        <v>24</v>
      </c>
      <c r="G35" s="7">
        <v>8</v>
      </c>
    </row>
    <row r="36" spans="1:7" x14ac:dyDescent="0.25">
      <c r="A36" s="23" t="s">
        <v>30</v>
      </c>
      <c r="B36" s="12">
        <v>7</v>
      </c>
      <c r="C36" s="22">
        <f t="shared" si="2"/>
        <v>46011</v>
      </c>
      <c r="D36" s="15">
        <f t="shared" si="1"/>
        <v>46018</v>
      </c>
      <c r="F36" s="8">
        <v>24</v>
      </c>
      <c r="G36" s="7">
        <v>8</v>
      </c>
    </row>
    <row r="37" spans="1:7" x14ac:dyDescent="0.25">
      <c r="A37" s="10" t="s">
        <v>29</v>
      </c>
      <c r="B37" s="11">
        <v>30</v>
      </c>
      <c r="C37" s="22">
        <f t="shared" si="2"/>
        <v>46018</v>
      </c>
      <c r="D37" s="15">
        <f t="shared" si="1"/>
        <v>46048</v>
      </c>
      <c r="E37" s="21">
        <f>E33+B37</f>
        <v>46225</v>
      </c>
      <c r="F37" s="8">
        <v>160</v>
      </c>
    </row>
    <row r="38" spans="1:7" x14ac:dyDescent="0.25">
      <c r="A38" s="18" t="s">
        <v>28</v>
      </c>
      <c r="B38" s="19">
        <v>14</v>
      </c>
      <c r="C38" s="16">
        <f t="shared" si="2"/>
        <v>46048</v>
      </c>
      <c r="D38" s="15">
        <f t="shared" si="1"/>
        <v>46062</v>
      </c>
      <c r="E38" s="14">
        <f t="shared" ref="E38:E44" si="3">E37+B38</f>
        <v>46239</v>
      </c>
      <c r="G38" s="7">
        <v>32</v>
      </c>
    </row>
    <row r="39" spans="1:7" x14ac:dyDescent="0.25">
      <c r="A39" s="18" t="s">
        <v>27</v>
      </c>
      <c r="B39" s="19">
        <v>30</v>
      </c>
      <c r="C39" s="16">
        <f t="shared" si="2"/>
        <v>46062</v>
      </c>
      <c r="D39" s="15">
        <f t="shared" si="1"/>
        <v>46092</v>
      </c>
      <c r="E39" s="14">
        <f t="shared" si="3"/>
        <v>46269</v>
      </c>
    </row>
    <row r="40" spans="1:7" x14ac:dyDescent="0.25">
      <c r="A40" s="18" t="s">
        <v>26</v>
      </c>
      <c r="B40" s="19">
        <v>14</v>
      </c>
      <c r="C40" s="16">
        <f t="shared" si="2"/>
        <v>46092</v>
      </c>
      <c r="D40" s="15">
        <f t="shared" si="1"/>
        <v>46106</v>
      </c>
      <c r="E40" s="14">
        <f t="shared" si="3"/>
        <v>46283</v>
      </c>
      <c r="F40" s="8">
        <v>40</v>
      </c>
      <c r="G40" s="7">
        <v>24</v>
      </c>
    </row>
    <row r="41" spans="1:7" x14ac:dyDescent="0.25">
      <c r="A41" s="18" t="s">
        <v>25</v>
      </c>
      <c r="B41" s="19">
        <v>30</v>
      </c>
      <c r="C41" s="16">
        <f t="shared" si="2"/>
        <v>46106</v>
      </c>
      <c r="D41" s="15">
        <f t="shared" si="1"/>
        <v>46136</v>
      </c>
      <c r="E41" s="14">
        <f t="shared" si="3"/>
        <v>46313</v>
      </c>
      <c r="F41" s="8">
        <v>8</v>
      </c>
      <c r="G41" s="7">
        <v>2</v>
      </c>
    </row>
    <row r="42" spans="1:7" x14ac:dyDescent="0.25">
      <c r="A42" s="18" t="s">
        <v>24</v>
      </c>
      <c r="B42" s="17">
        <v>14</v>
      </c>
      <c r="C42" s="16">
        <f>D42-B42</f>
        <v>45429</v>
      </c>
      <c r="D42" s="15">
        <f>C43-1</f>
        <v>45443</v>
      </c>
      <c r="E42" s="14">
        <f t="shared" si="3"/>
        <v>46327</v>
      </c>
      <c r="F42" s="8">
        <v>40</v>
      </c>
      <c r="G42" s="7">
        <v>24</v>
      </c>
    </row>
    <row r="43" spans="1:7" x14ac:dyDescent="0.25">
      <c r="A43" s="20" t="s">
        <v>23</v>
      </c>
      <c r="B43" s="19">
        <v>30</v>
      </c>
      <c r="C43" s="16">
        <f>D43-B43</f>
        <v>45444</v>
      </c>
      <c r="D43" s="15">
        <f>C44-1</f>
        <v>45474</v>
      </c>
      <c r="E43" s="14">
        <f t="shared" si="3"/>
        <v>46357</v>
      </c>
    </row>
    <row r="44" spans="1:7" x14ac:dyDescent="0.25">
      <c r="A44" s="18" t="s">
        <v>22</v>
      </c>
      <c r="B44" s="17">
        <v>30</v>
      </c>
      <c r="C44" s="16">
        <f>D44-B44</f>
        <v>45475</v>
      </c>
      <c r="D44" s="15">
        <v>45505</v>
      </c>
      <c r="E44" s="14">
        <f t="shared" si="3"/>
        <v>46387</v>
      </c>
      <c r="F44" s="8">
        <v>4</v>
      </c>
      <c r="G44" s="7">
        <v>4</v>
      </c>
    </row>
    <row r="45" spans="1:7" x14ac:dyDescent="0.25">
      <c r="A45" s="13"/>
      <c r="B45" s="12"/>
      <c r="F45" s="8">
        <f>SUM(F2:F44)</f>
        <v>723</v>
      </c>
      <c r="G45" s="8">
        <f>SUM(G2:G44)</f>
        <v>304</v>
      </c>
    </row>
    <row r="46" spans="1:7" x14ac:dyDescent="0.25">
      <c r="A46" s="13"/>
      <c r="B46" s="12"/>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2D8B9-DF0E-4787-BF02-5FCDBE9FBB0C}">
  <dimension ref="A1:E14"/>
  <sheetViews>
    <sheetView workbookViewId="0">
      <selection activeCell="B16" sqref="B16"/>
    </sheetView>
  </sheetViews>
  <sheetFormatPr defaultColWidth="8.85546875" defaultRowHeight="15" x14ac:dyDescent="0.25"/>
  <cols>
    <col min="1" max="1" width="35.85546875" style="5" customWidth="1"/>
    <col min="2" max="2" width="27.140625" style="6" customWidth="1"/>
    <col min="3" max="3" width="8.85546875" style="7"/>
    <col min="4" max="4" width="13.42578125" style="6" bestFit="1" customWidth="1"/>
    <col min="5" max="5" width="12.140625" style="6" bestFit="1" customWidth="1"/>
    <col min="6" max="16384" width="8.85546875" style="5"/>
  </cols>
  <sheetData>
    <row r="1" spans="1:4" ht="48" thickBot="1" x14ac:dyDescent="0.3">
      <c r="A1" s="55"/>
      <c r="B1" s="56" t="s">
        <v>70</v>
      </c>
      <c r="C1" s="57" t="s">
        <v>71</v>
      </c>
      <c r="D1" s="56" t="s">
        <v>72</v>
      </c>
    </row>
    <row r="2" spans="1:4" ht="16.5" thickBot="1" x14ac:dyDescent="0.3">
      <c r="A2" s="58" t="s">
        <v>73</v>
      </c>
      <c r="B2" s="59">
        <v>192</v>
      </c>
      <c r="C2" s="60">
        <v>260</v>
      </c>
      <c r="D2" s="61">
        <f>B2*C2</f>
        <v>49920</v>
      </c>
    </row>
    <row r="3" spans="1:4" ht="32.25" thickBot="1" x14ac:dyDescent="0.3">
      <c r="A3" s="58" t="s">
        <v>74</v>
      </c>
      <c r="B3" s="59">
        <v>192</v>
      </c>
      <c r="C3" s="60">
        <f>'ENV Schedule'!G45</f>
        <v>304</v>
      </c>
      <c r="D3" s="61">
        <f t="shared" ref="D3:D6" si="0">B3*C3</f>
        <v>58368</v>
      </c>
    </row>
    <row r="4" spans="1:4" ht="32.25" thickBot="1" x14ac:dyDescent="0.3">
      <c r="A4" s="58" t="s">
        <v>75</v>
      </c>
      <c r="B4" s="59">
        <v>164</v>
      </c>
      <c r="C4" s="60">
        <f>'ENV Schedule'!F45</f>
        <v>723</v>
      </c>
      <c r="D4" s="61">
        <f t="shared" si="0"/>
        <v>118572</v>
      </c>
    </row>
    <row r="5" spans="1:4" ht="16.5" thickBot="1" x14ac:dyDescent="0.3">
      <c r="A5" s="58" t="s">
        <v>76</v>
      </c>
      <c r="B5" s="59">
        <v>186</v>
      </c>
      <c r="C5" s="60">
        <v>25</v>
      </c>
      <c r="D5" s="61">
        <f t="shared" si="0"/>
        <v>4650</v>
      </c>
    </row>
    <row r="6" spans="1:4" ht="16.5" thickBot="1" x14ac:dyDescent="0.3">
      <c r="A6" s="58" t="s">
        <v>77</v>
      </c>
      <c r="B6" s="59">
        <v>192</v>
      </c>
      <c r="C6" s="60">
        <v>30</v>
      </c>
      <c r="D6" s="61">
        <f t="shared" si="0"/>
        <v>5760</v>
      </c>
    </row>
    <row r="7" spans="1:4" ht="16.5" thickBot="1" x14ac:dyDescent="0.3">
      <c r="A7" s="58" t="s">
        <v>78</v>
      </c>
      <c r="B7" s="59"/>
      <c r="C7" s="60"/>
      <c r="D7" s="61">
        <v>40000</v>
      </c>
    </row>
    <row r="8" spans="1:4" ht="16.5" thickBot="1" x14ac:dyDescent="0.3">
      <c r="A8" s="58"/>
      <c r="B8" s="59"/>
      <c r="C8" s="60"/>
      <c r="D8" s="61"/>
    </row>
    <row r="9" spans="1:4" ht="16.5" thickBot="1" x14ac:dyDescent="0.3">
      <c r="A9" s="58" t="s">
        <v>79</v>
      </c>
      <c r="B9" s="59"/>
      <c r="C9" s="60"/>
      <c r="D9" s="61">
        <v>50000</v>
      </c>
    </row>
    <row r="10" spans="1:4" ht="31.35" customHeight="1" thickBot="1" x14ac:dyDescent="0.3">
      <c r="A10" s="481" t="s">
        <v>80</v>
      </c>
      <c r="B10" s="482"/>
      <c r="C10" s="483"/>
      <c r="D10" s="2">
        <f>SUM(D2:D9)</f>
        <v>327270</v>
      </c>
    </row>
    <row r="14" spans="1:4" x14ac:dyDescent="0.25">
      <c r="D14" s="6" t="s">
        <v>81</v>
      </c>
    </row>
  </sheetData>
  <mergeCells count="1">
    <mergeCell ref="A10: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6F0FB-2C94-4C60-BA75-CD80843AC1DB}">
  <sheetPr>
    <outlinePr summaryBelow="0"/>
  </sheetPr>
  <dimension ref="A1:T65"/>
  <sheetViews>
    <sheetView zoomScaleNormal="100" workbookViewId="0">
      <selection activeCell="B12" sqref="B12"/>
    </sheetView>
  </sheetViews>
  <sheetFormatPr defaultColWidth="11.42578125" defaultRowHeight="15" outlineLevelCol="1" x14ac:dyDescent="0.25"/>
  <cols>
    <col min="1" max="1" width="12" style="76" customWidth="1"/>
    <col min="2" max="2" width="56.85546875" customWidth="1"/>
    <col min="3" max="3" width="26.5703125" bestFit="1" customWidth="1"/>
    <col min="4" max="4" width="16.42578125" bestFit="1" customWidth="1" outlineLevel="1"/>
    <col min="5" max="5" width="18.85546875" bestFit="1" customWidth="1" outlineLevel="1"/>
    <col min="6" max="6" width="46.5703125" bestFit="1" customWidth="1"/>
  </cols>
  <sheetData>
    <row r="1" spans="1:6" ht="19.5" thickBot="1" x14ac:dyDescent="0.35">
      <c r="A1" s="62" t="s">
        <v>82</v>
      </c>
      <c r="C1" s="484" t="s">
        <v>83</v>
      </c>
      <c r="D1" s="484"/>
      <c r="E1" s="484"/>
    </row>
    <row r="2" spans="1:6" s="1" customFormat="1" ht="15.75" thickBot="1" x14ac:dyDescent="0.3">
      <c r="A2" s="63" t="s">
        <v>84</v>
      </c>
      <c r="B2" s="64" t="s">
        <v>85</v>
      </c>
      <c r="C2" s="65" t="s">
        <v>86</v>
      </c>
      <c r="D2" s="65" t="s">
        <v>87</v>
      </c>
      <c r="E2" s="66" t="s">
        <v>88</v>
      </c>
      <c r="F2" s="1" t="s">
        <v>89</v>
      </c>
    </row>
    <row r="3" spans="1:6" s="1" customFormat="1" ht="15.75" thickBot="1" x14ac:dyDescent="0.3">
      <c r="A3" s="67">
        <v>0</v>
      </c>
      <c r="B3" s="68" t="s">
        <v>90</v>
      </c>
      <c r="C3" s="69">
        <f>SUM(C4,C10,C14,C20,C17)</f>
        <v>346</v>
      </c>
      <c r="D3" s="69">
        <f>SUM(D4,D10,D14,D20,D17)</f>
        <v>205</v>
      </c>
      <c r="E3" s="70">
        <f>SUM(E4,E10,E14,E20,E17)</f>
        <v>55</v>
      </c>
      <c r="F3" s="71"/>
    </row>
    <row r="4" spans="1:6" s="1" customFormat="1" ht="15.75" thickBot="1" x14ac:dyDescent="0.3">
      <c r="A4" s="63">
        <v>1</v>
      </c>
      <c r="B4" s="64" t="s">
        <v>91</v>
      </c>
      <c r="C4" s="65">
        <f>SUM(C5:C9)</f>
        <v>198</v>
      </c>
      <c r="D4" s="65">
        <f t="shared" ref="D4:E4" si="0">SUM(D5:D9)</f>
        <v>117</v>
      </c>
      <c r="E4" s="66">
        <f t="shared" si="0"/>
        <v>26</v>
      </c>
      <c r="F4" s="71"/>
    </row>
    <row r="5" spans="1:6" x14ac:dyDescent="0.25">
      <c r="A5" s="72">
        <v>1.1000000000000001</v>
      </c>
      <c r="B5" s="73" t="s">
        <v>92</v>
      </c>
      <c r="C5" s="74">
        <v>26</v>
      </c>
      <c r="D5" s="74">
        <v>10</v>
      </c>
      <c r="E5" s="75">
        <v>10</v>
      </c>
      <c r="F5" s="76"/>
    </row>
    <row r="6" spans="1:6" x14ac:dyDescent="0.25">
      <c r="A6" s="77">
        <v>1.2</v>
      </c>
      <c r="B6" s="78" t="s">
        <v>93</v>
      </c>
      <c r="C6" s="79">
        <v>20</v>
      </c>
      <c r="D6" s="79">
        <v>5</v>
      </c>
      <c r="E6" s="80">
        <v>0</v>
      </c>
      <c r="F6" s="76"/>
    </row>
    <row r="7" spans="1:6" x14ac:dyDescent="0.25">
      <c r="A7" s="81">
        <v>1.3</v>
      </c>
      <c r="B7" s="82" t="s">
        <v>94</v>
      </c>
      <c r="C7" s="83">
        <v>40</v>
      </c>
      <c r="D7" s="83">
        <v>10</v>
      </c>
      <c r="E7" s="84">
        <v>8</v>
      </c>
      <c r="F7" s="85" t="s">
        <v>95</v>
      </c>
    </row>
    <row r="8" spans="1:6" x14ac:dyDescent="0.25">
      <c r="A8" s="81">
        <v>1.4</v>
      </c>
      <c r="B8" s="82" t="s">
        <v>96</v>
      </c>
      <c r="C8" s="83">
        <v>40</v>
      </c>
      <c r="D8" s="83">
        <v>20</v>
      </c>
      <c r="E8" s="84">
        <v>8</v>
      </c>
      <c r="F8" s="85" t="s">
        <v>97</v>
      </c>
    </row>
    <row r="9" spans="1:6" ht="15.75" thickBot="1" x14ac:dyDescent="0.3">
      <c r="A9" s="86">
        <v>1.5</v>
      </c>
      <c r="B9" s="87" t="s">
        <v>98</v>
      </c>
      <c r="C9" s="88">
        <v>72</v>
      </c>
      <c r="D9" s="88">
        <v>72</v>
      </c>
      <c r="E9" s="89">
        <v>0</v>
      </c>
      <c r="F9" s="85" t="s">
        <v>99</v>
      </c>
    </row>
    <row r="10" spans="1:6" s="1" customFormat="1" ht="15.75" thickBot="1" x14ac:dyDescent="0.3">
      <c r="A10" s="63">
        <v>2</v>
      </c>
      <c r="B10" s="64" t="s">
        <v>100</v>
      </c>
      <c r="C10" s="65">
        <f>SUM(C11:C13)</f>
        <v>28</v>
      </c>
      <c r="D10" s="65">
        <f>SUM(D11:D13)</f>
        <v>16</v>
      </c>
      <c r="E10" s="66">
        <f>SUM(E11:E13)</f>
        <v>9</v>
      </c>
      <c r="F10" s="71"/>
    </row>
    <row r="11" spans="1:6" x14ac:dyDescent="0.25">
      <c r="A11" s="72">
        <v>2.1</v>
      </c>
      <c r="B11" s="73" t="s">
        <v>101</v>
      </c>
      <c r="C11" s="74">
        <v>16</v>
      </c>
      <c r="D11" s="74">
        <v>8</v>
      </c>
      <c r="E11" s="75">
        <v>1</v>
      </c>
    </row>
    <row r="12" spans="1:6" x14ac:dyDescent="0.25">
      <c r="A12" s="77">
        <v>2.2000000000000002</v>
      </c>
      <c r="B12" s="78" t="s">
        <v>102</v>
      </c>
      <c r="C12" s="79">
        <v>4</v>
      </c>
      <c r="D12" s="79">
        <v>4</v>
      </c>
      <c r="E12" s="80">
        <v>0</v>
      </c>
      <c r="F12" s="76"/>
    </row>
    <row r="13" spans="1:6" ht="15.75" thickBot="1" x14ac:dyDescent="0.3">
      <c r="A13" s="77">
        <v>2.2999999999999998</v>
      </c>
      <c r="B13" s="78" t="s">
        <v>103</v>
      </c>
      <c r="C13" s="79">
        <v>8</v>
      </c>
      <c r="D13" s="79">
        <v>4</v>
      </c>
      <c r="E13" s="80">
        <v>8</v>
      </c>
      <c r="F13" s="76"/>
    </row>
    <row r="14" spans="1:6" s="1" customFormat="1" ht="15.75" thickBot="1" x14ac:dyDescent="0.3">
      <c r="A14" s="63">
        <v>3</v>
      </c>
      <c r="B14" s="64" t="s">
        <v>104</v>
      </c>
      <c r="C14" s="65">
        <f>SUM(C15:C16)</f>
        <v>80</v>
      </c>
      <c r="D14" s="65">
        <f t="shared" ref="D14:E14" si="1">SUM(D15:D16)</f>
        <v>40</v>
      </c>
      <c r="E14" s="66">
        <f t="shared" si="1"/>
        <v>15</v>
      </c>
      <c r="F14" s="71"/>
    </row>
    <row r="15" spans="1:6" x14ac:dyDescent="0.25">
      <c r="A15" s="72">
        <v>3.1</v>
      </c>
      <c r="B15" s="73" t="s">
        <v>105</v>
      </c>
      <c r="C15" s="74">
        <v>40</v>
      </c>
      <c r="D15" s="74">
        <v>20</v>
      </c>
      <c r="E15" s="75">
        <v>10</v>
      </c>
      <c r="F15" s="76"/>
    </row>
    <row r="16" spans="1:6" ht="15.75" thickBot="1" x14ac:dyDescent="0.3">
      <c r="A16" s="81">
        <v>3.2</v>
      </c>
      <c r="B16" s="82" t="s">
        <v>106</v>
      </c>
      <c r="C16" s="83">
        <v>40</v>
      </c>
      <c r="D16" s="83">
        <v>20</v>
      </c>
      <c r="E16" s="84">
        <v>5</v>
      </c>
      <c r="F16" s="76"/>
    </row>
    <row r="17" spans="1:6" s="1" customFormat="1" ht="15.75" thickBot="1" x14ac:dyDescent="0.3">
      <c r="A17" s="63">
        <v>4</v>
      </c>
      <c r="B17" s="64" t="s">
        <v>107</v>
      </c>
      <c r="C17" s="65">
        <f>SUM(C18:C19)</f>
        <v>28</v>
      </c>
      <c r="D17" s="65">
        <f t="shared" ref="D17:E17" si="2">SUM(D18:D19)</f>
        <v>12</v>
      </c>
      <c r="E17" s="66">
        <f t="shared" si="2"/>
        <v>3</v>
      </c>
      <c r="F17" s="71"/>
    </row>
    <row r="18" spans="1:6" x14ac:dyDescent="0.25">
      <c r="A18" s="72">
        <v>4.0999999999999996</v>
      </c>
      <c r="B18" s="73" t="s">
        <v>108</v>
      </c>
      <c r="C18" s="74">
        <v>20</v>
      </c>
      <c r="D18" s="74">
        <v>8</v>
      </c>
      <c r="E18" s="75">
        <v>2</v>
      </c>
      <c r="F18" s="76"/>
    </row>
    <row r="19" spans="1:6" ht="15.75" thickBot="1" x14ac:dyDescent="0.3">
      <c r="A19" s="81">
        <v>4.2</v>
      </c>
      <c r="B19" s="82" t="s">
        <v>109</v>
      </c>
      <c r="C19" s="83">
        <v>8</v>
      </c>
      <c r="D19" s="83">
        <v>4</v>
      </c>
      <c r="E19" s="84">
        <v>1</v>
      </c>
      <c r="F19" s="76"/>
    </row>
    <row r="20" spans="1:6" s="1" customFormat="1" ht="15.75" thickBot="1" x14ac:dyDescent="0.3">
      <c r="A20" s="63">
        <v>5</v>
      </c>
      <c r="B20" s="64" t="s">
        <v>110</v>
      </c>
      <c r="C20" s="65">
        <f>SUM(C21:C22)</f>
        <v>12</v>
      </c>
      <c r="D20" s="65">
        <f>SUM(D21:D22)</f>
        <v>20</v>
      </c>
      <c r="E20" s="66">
        <f>SUM(E21:E22)</f>
        <v>2</v>
      </c>
      <c r="F20" s="71"/>
    </row>
    <row r="21" spans="1:6" x14ac:dyDescent="0.25">
      <c r="A21" s="72">
        <v>5.0999999999999996</v>
      </c>
      <c r="B21" s="73" t="s">
        <v>111</v>
      </c>
      <c r="C21" s="74">
        <v>8</v>
      </c>
      <c r="D21" s="74">
        <v>16</v>
      </c>
      <c r="E21" s="75">
        <v>2</v>
      </c>
      <c r="F21" s="76"/>
    </row>
    <row r="22" spans="1:6" ht="15.75" thickBot="1" x14ac:dyDescent="0.3">
      <c r="A22" s="90">
        <v>5.2</v>
      </c>
      <c r="B22" s="91" t="s">
        <v>112</v>
      </c>
      <c r="C22" s="92">
        <v>4</v>
      </c>
      <c r="D22" s="92">
        <v>4</v>
      </c>
      <c r="E22" s="93">
        <v>0</v>
      </c>
      <c r="F22" s="76"/>
    </row>
    <row r="23" spans="1:6" ht="15.75" thickBot="1" x14ac:dyDescent="0.3">
      <c r="C23" s="76"/>
      <c r="D23" s="76"/>
      <c r="E23" s="76"/>
      <c r="F23" s="76"/>
    </row>
    <row r="24" spans="1:6" ht="15.75" thickBot="1" x14ac:dyDescent="0.3">
      <c r="B24" s="94" t="s">
        <v>113</v>
      </c>
      <c r="C24" s="95">
        <v>160</v>
      </c>
      <c r="D24" s="96">
        <v>180</v>
      </c>
      <c r="E24" s="97">
        <v>180</v>
      </c>
      <c r="F24" s="76"/>
    </row>
    <row r="25" spans="1:6" ht="15.75" thickBot="1" x14ac:dyDescent="0.3">
      <c r="A25" s="71"/>
      <c r="B25" s="98" t="s">
        <v>114</v>
      </c>
      <c r="C25" s="99">
        <f>C24*C3</f>
        <v>55360</v>
      </c>
      <c r="D25" s="100">
        <f>D24*D3</f>
        <v>36900</v>
      </c>
      <c r="E25" s="101">
        <f>E24*E3</f>
        <v>9900</v>
      </c>
      <c r="F25" s="102">
        <f>SUM(C25:E25)</f>
        <v>102160</v>
      </c>
    </row>
    <row r="26" spans="1:6" x14ac:dyDescent="0.25">
      <c r="A26" s="103"/>
      <c r="C26" s="76"/>
      <c r="D26" s="76"/>
      <c r="E26" s="76"/>
      <c r="F26" s="76"/>
    </row>
    <row r="27" spans="1:6" ht="15.75" thickBot="1" x14ac:dyDescent="0.3">
      <c r="A27" s="104" t="s">
        <v>115</v>
      </c>
    </row>
    <row r="28" spans="1:6" s="1" customFormat="1" x14ac:dyDescent="0.25">
      <c r="A28" s="104"/>
      <c r="B28" s="105" t="s">
        <v>116</v>
      </c>
      <c r="C28" s="106" t="s">
        <v>117</v>
      </c>
    </row>
    <row r="29" spans="1:6" s="1" customFormat="1" x14ac:dyDescent="0.25">
      <c r="A29" s="104"/>
      <c r="B29" s="107" t="s">
        <v>118</v>
      </c>
      <c r="C29" s="108">
        <f>2*(4000+283*6)</f>
        <v>11396</v>
      </c>
    </row>
    <row r="30" spans="1:6" x14ac:dyDescent="0.25">
      <c r="A30" s="85"/>
      <c r="B30" s="109" t="s">
        <v>119</v>
      </c>
      <c r="C30" s="108">
        <v>7500</v>
      </c>
    </row>
    <row r="31" spans="1:6" ht="15.75" thickBot="1" x14ac:dyDescent="0.3">
      <c r="A31" s="85"/>
      <c r="B31" s="98" t="s">
        <v>120</v>
      </c>
      <c r="C31" s="110">
        <f>6*100</f>
        <v>600</v>
      </c>
    </row>
    <row r="32" spans="1:6" ht="15.75" thickBot="1" x14ac:dyDescent="0.3">
      <c r="A32" s="103"/>
      <c r="C32" s="76"/>
      <c r="D32" s="76"/>
      <c r="E32" s="111" t="s">
        <v>121</v>
      </c>
      <c r="F32" s="112">
        <f>F25+C29+C31</f>
        <v>114156</v>
      </c>
    </row>
    <row r="34" spans="1:6" ht="19.5" thickBot="1" x14ac:dyDescent="0.35">
      <c r="A34" s="62" t="s">
        <v>122</v>
      </c>
      <c r="C34" s="484" t="s">
        <v>83</v>
      </c>
      <c r="D34" s="484"/>
      <c r="E34" s="484"/>
    </row>
    <row r="35" spans="1:6" s="1" customFormat="1" ht="15.75" thickBot="1" x14ac:dyDescent="0.3">
      <c r="A35" s="63" t="s">
        <v>84</v>
      </c>
      <c r="B35" s="64" t="s">
        <v>85</v>
      </c>
      <c r="C35" s="65" t="s">
        <v>86</v>
      </c>
      <c r="D35" s="65" t="s">
        <v>87</v>
      </c>
      <c r="E35" s="66" t="s">
        <v>123</v>
      </c>
      <c r="F35" s="1" t="s">
        <v>89</v>
      </c>
    </row>
    <row r="36" spans="1:6" s="1" customFormat="1" ht="15.75" thickBot="1" x14ac:dyDescent="0.3">
      <c r="A36" s="67">
        <v>0</v>
      </c>
      <c r="B36" s="68" t="s">
        <v>90</v>
      </c>
      <c r="C36" s="69">
        <f>SUM(C37,C42,C50,C47)</f>
        <v>460</v>
      </c>
      <c r="D36" s="69">
        <f t="shared" ref="D36:E36" si="3">SUM(D37,D42,D50,D47)</f>
        <v>159</v>
      </c>
      <c r="E36" s="70">
        <f t="shared" si="3"/>
        <v>59</v>
      </c>
      <c r="F36" s="71"/>
    </row>
    <row r="37" spans="1:6" s="1" customFormat="1" ht="15.75" thickBot="1" x14ac:dyDescent="0.3">
      <c r="A37" s="63">
        <v>1</v>
      </c>
      <c r="B37" s="64" t="s">
        <v>124</v>
      </c>
      <c r="C37" s="65">
        <f>SUM(C38:C41)</f>
        <v>196</v>
      </c>
      <c r="D37" s="65">
        <f>SUM(D38:D41)</f>
        <v>74</v>
      </c>
      <c r="E37" s="66">
        <f>SUM(E38:E41)</f>
        <v>20</v>
      </c>
      <c r="F37" s="71"/>
    </row>
    <row r="38" spans="1:6" x14ac:dyDescent="0.25">
      <c r="A38" s="72">
        <v>1.1000000000000001</v>
      </c>
      <c r="B38" s="73" t="s">
        <v>125</v>
      </c>
      <c r="C38" s="74">
        <v>40</v>
      </c>
      <c r="D38" s="74">
        <v>10</v>
      </c>
      <c r="E38" s="75">
        <v>10</v>
      </c>
      <c r="F38" s="76"/>
    </row>
    <row r="39" spans="1:6" x14ac:dyDescent="0.25">
      <c r="A39" s="77">
        <v>1.2</v>
      </c>
      <c r="B39" s="78" t="s">
        <v>126</v>
      </c>
      <c r="C39" s="79">
        <v>40</v>
      </c>
      <c r="D39" s="79">
        <v>8</v>
      </c>
      <c r="E39" s="80">
        <v>2</v>
      </c>
      <c r="F39" s="76"/>
    </row>
    <row r="40" spans="1:6" x14ac:dyDescent="0.25">
      <c r="A40" s="72">
        <v>1.3</v>
      </c>
      <c r="B40" s="78" t="s">
        <v>127</v>
      </c>
      <c r="C40" s="79">
        <v>36</v>
      </c>
      <c r="D40" s="79">
        <v>36</v>
      </c>
      <c r="E40" s="80">
        <v>4</v>
      </c>
      <c r="F40" s="85" t="s">
        <v>128</v>
      </c>
    </row>
    <row r="41" spans="1:6" ht="15.75" thickBot="1" x14ac:dyDescent="0.3">
      <c r="A41" s="77">
        <v>1.4</v>
      </c>
      <c r="B41" s="78" t="s">
        <v>129</v>
      </c>
      <c r="C41" s="79">
        <v>80</v>
      </c>
      <c r="D41" s="79">
        <v>20</v>
      </c>
      <c r="E41" s="80">
        <v>4</v>
      </c>
      <c r="F41" s="76"/>
    </row>
    <row r="42" spans="1:6" s="1" customFormat="1" ht="15.75" thickBot="1" x14ac:dyDescent="0.3">
      <c r="A42" s="63">
        <v>2</v>
      </c>
      <c r="B42" s="64" t="s">
        <v>130</v>
      </c>
      <c r="C42" s="65">
        <f>SUM(C43:C46)</f>
        <v>220</v>
      </c>
      <c r="D42" s="65">
        <f t="shared" ref="D42:E42" si="4">SUM(D43:D46)</f>
        <v>65</v>
      </c>
      <c r="E42" s="66">
        <f t="shared" si="4"/>
        <v>30</v>
      </c>
      <c r="F42" s="71"/>
    </row>
    <row r="43" spans="1:6" x14ac:dyDescent="0.25">
      <c r="A43" s="77">
        <v>2.1</v>
      </c>
      <c r="B43" s="78" t="s">
        <v>131</v>
      </c>
      <c r="C43" s="79">
        <v>20</v>
      </c>
      <c r="D43" s="79">
        <v>5</v>
      </c>
      <c r="E43" s="80">
        <v>5</v>
      </c>
      <c r="F43" s="76"/>
    </row>
    <row r="44" spans="1:6" x14ac:dyDescent="0.25">
      <c r="A44" s="81">
        <v>2.2000000000000002</v>
      </c>
      <c r="B44" s="82" t="s">
        <v>132</v>
      </c>
      <c r="C44" s="83">
        <v>40</v>
      </c>
      <c r="D44" s="83">
        <v>20</v>
      </c>
      <c r="E44" s="84">
        <v>5</v>
      </c>
      <c r="F44" s="76"/>
    </row>
    <row r="45" spans="1:6" x14ac:dyDescent="0.25">
      <c r="A45" s="86">
        <v>2.2999999999999998</v>
      </c>
      <c r="B45" s="87" t="s">
        <v>133</v>
      </c>
      <c r="C45" s="88">
        <v>60</v>
      </c>
      <c r="D45" s="88">
        <v>20</v>
      </c>
      <c r="E45" s="89">
        <v>10</v>
      </c>
      <c r="F45" s="76"/>
    </row>
    <row r="46" spans="1:6" ht="15.75" thickBot="1" x14ac:dyDescent="0.3">
      <c r="A46" s="86">
        <v>2.4</v>
      </c>
      <c r="B46" s="87" t="s">
        <v>134</v>
      </c>
      <c r="C46" s="88">
        <v>100</v>
      </c>
      <c r="D46" s="88">
        <v>20</v>
      </c>
      <c r="E46" s="89">
        <v>10</v>
      </c>
      <c r="F46" s="76"/>
    </row>
    <row r="47" spans="1:6" s="1" customFormat="1" ht="15.75" thickBot="1" x14ac:dyDescent="0.3">
      <c r="A47" s="63">
        <v>3</v>
      </c>
      <c r="B47" s="64" t="s">
        <v>107</v>
      </c>
      <c r="C47" s="65">
        <f>SUM(C48:C49)</f>
        <v>10</v>
      </c>
      <c r="D47" s="65">
        <f t="shared" ref="D47:E47" si="5">SUM(D48:D49)</f>
        <v>6</v>
      </c>
      <c r="E47" s="66">
        <f t="shared" si="5"/>
        <v>3</v>
      </c>
      <c r="F47" s="71"/>
    </row>
    <row r="48" spans="1:6" x14ac:dyDescent="0.25">
      <c r="A48" s="72">
        <v>3.1</v>
      </c>
      <c r="B48" s="73" t="s">
        <v>108</v>
      </c>
      <c r="C48" s="74">
        <v>2</v>
      </c>
      <c r="D48" s="74">
        <v>2</v>
      </c>
      <c r="E48" s="75">
        <v>1</v>
      </c>
      <c r="F48" s="76"/>
    </row>
    <row r="49" spans="1:20" ht="15.75" thickBot="1" x14ac:dyDescent="0.3">
      <c r="A49" s="81">
        <v>3.2</v>
      </c>
      <c r="B49" s="82" t="s">
        <v>109</v>
      </c>
      <c r="C49" s="83">
        <v>8</v>
      </c>
      <c r="D49" s="83">
        <v>4</v>
      </c>
      <c r="E49" s="84">
        <v>2</v>
      </c>
      <c r="F49" s="76"/>
    </row>
    <row r="50" spans="1:20" s="1" customFormat="1" ht="15.75" thickBot="1" x14ac:dyDescent="0.3">
      <c r="A50" s="63">
        <v>4</v>
      </c>
      <c r="B50" s="64" t="s">
        <v>110</v>
      </c>
      <c r="C50" s="65">
        <f>SUM(C51:C52)</f>
        <v>34</v>
      </c>
      <c r="D50" s="65">
        <f>SUM(D51:D52)</f>
        <v>14</v>
      </c>
      <c r="E50" s="66">
        <f>SUM(E51:E52)</f>
        <v>6</v>
      </c>
      <c r="F50" s="71"/>
    </row>
    <row r="51" spans="1:20" x14ac:dyDescent="0.25">
      <c r="A51" s="72">
        <v>4.0999999999999996</v>
      </c>
      <c r="B51" s="73" t="s">
        <v>135</v>
      </c>
      <c r="C51" s="74">
        <v>30</v>
      </c>
      <c r="D51" s="74">
        <v>10</v>
      </c>
      <c r="E51" s="75">
        <v>5</v>
      </c>
      <c r="F51" s="76"/>
    </row>
    <row r="52" spans="1:20" ht="15.75" thickBot="1" x14ac:dyDescent="0.3">
      <c r="A52" s="90">
        <v>4.2</v>
      </c>
      <c r="B52" s="91" t="s">
        <v>112</v>
      </c>
      <c r="C52" s="92">
        <v>4</v>
      </c>
      <c r="D52" s="92">
        <v>4</v>
      </c>
      <c r="E52" s="93">
        <v>1</v>
      </c>
      <c r="F52" s="76"/>
    </row>
    <row r="53" spans="1:20" ht="15.75" thickBot="1" x14ac:dyDescent="0.3">
      <c r="C53" s="76"/>
      <c r="D53" s="76"/>
      <c r="E53" s="76"/>
      <c r="F53" s="76"/>
    </row>
    <row r="54" spans="1:20" ht="15.75" thickBot="1" x14ac:dyDescent="0.3">
      <c r="B54" s="94" t="s">
        <v>136</v>
      </c>
      <c r="C54" s="113">
        <v>160</v>
      </c>
      <c r="D54" s="114">
        <v>220</v>
      </c>
      <c r="E54" s="115">
        <v>300</v>
      </c>
    </row>
    <row r="55" spans="1:20" ht="15.75" thickBot="1" x14ac:dyDescent="0.3">
      <c r="B55" s="98" t="s">
        <v>137</v>
      </c>
      <c r="C55" s="116">
        <f>C54*C36</f>
        <v>73600</v>
      </c>
      <c r="D55" s="117">
        <f t="shared" ref="D55:E55" si="6">D54*D36</f>
        <v>34980</v>
      </c>
      <c r="E55" s="118">
        <f t="shared" si="6"/>
        <v>17700</v>
      </c>
      <c r="F55" s="119">
        <f>SUM(C55:E55)</f>
        <v>126280</v>
      </c>
    </row>
    <row r="56" spans="1:20" x14ac:dyDescent="0.25">
      <c r="A56" s="85"/>
    </row>
    <row r="57" spans="1:20" x14ac:dyDescent="0.25">
      <c r="A57" s="104" t="s">
        <v>138</v>
      </c>
      <c r="N57" t="s">
        <v>139</v>
      </c>
    </row>
    <row r="58" spans="1:20" s="1" customFormat="1" x14ac:dyDescent="0.25">
      <c r="A58" s="104"/>
      <c r="B58" s="120" t="s">
        <v>116</v>
      </c>
      <c r="C58" s="120" t="s">
        <v>117</v>
      </c>
      <c r="E58"/>
      <c r="F58"/>
      <c r="G58" s="2"/>
      <c r="H58" s="2"/>
      <c r="I58"/>
      <c r="J58"/>
      <c r="K58"/>
      <c r="L58"/>
      <c r="M58"/>
      <c r="N58"/>
      <c r="O58"/>
      <c r="P58"/>
      <c r="Q58"/>
      <c r="R58"/>
      <c r="S58"/>
      <c r="T58"/>
    </row>
    <row r="59" spans="1:20" x14ac:dyDescent="0.25">
      <c r="A59" s="85"/>
      <c r="B59" s="78" t="s">
        <v>140</v>
      </c>
      <c r="C59" s="121">
        <v>40000</v>
      </c>
      <c r="G59" s="2"/>
      <c r="H59" s="2"/>
    </row>
    <row r="60" spans="1:20" ht="15.75" thickBot="1" x14ac:dyDescent="0.3">
      <c r="A60" s="85"/>
      <c r="B60" s="78" t="s">
        <v>141</v>
      </c>
      <c r="C60" s="121">
        <v>10000</v>
      </c>
      <c r="G60" s="2"/>
      <c r="H60" s="2"/>
    </row>
    <row r="61" spans="1:20" ht="15.75" thickBot="1" x14ac:dyDescent="0.3">
      <c r="A61" s="85"/>
      <c r="E61" s="111" t="s">
        <v>142</v>
      </c>
      <c r="F61" s="112">
        <f>F55+C59+C60</f>
        <v>176280</v>
      </c>
      <c r="H61" s="2"/>
      <c r="I61" s="2"/>
    </row>
    <row r="62" spans="1:20" x14ac:dyDescent="0.25">
      <c r="A62" s="85"/>
      <c r="H62" s="2"/>
      <c r="I62" s="2"/>
    </row>
    <row r="63" spans="1:20" ht="15.75" thickBot="1" x14ac:dyDescent="0.3">
      <c r="A63" s="85"/>
      <c r="H63" s="2"/>
      <c r="I63" s="2"/>
    </row>
    <row r="64" spans="1:20" ht="15.75" thickBot="1" x14ac:dyDescent="0.3">
      <c r="A64" s="85"/>
      <c r="E64" s="122" t="s">
        <v>143</v>
      </c>
      <c r="F64" s="112">
        <f>F61+F32</f>
        <v>290436</v>
      </c>
    </row>
    <row r="65" spans="1:9" x14ac:dyDescent="0.25">
      <c r="A65" s="85"/>
      <c r="I65" s="123"/>
    </row>
  </sheetData>
  <mergeCells count="2">
    <mergeCell ref="C1:E1"/>
    <mergeCell ref="C34:E34"/>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4394E-CAD6-4C79-A9C0-DE05C52F3224}">
  <dimension ref="A1:P111"/>
  <sheetViews>
    <sheetView showGridLines="0" view="pageBreakPreview" topLeftCell="A8" zoomScale="85" zoomScaleNormal="100" zoomScaleSheetLayoutView="100" workbookViewId="0">
      <selection activeCell="E10" sqref="E10"/>
    </sheetView>
  </sheetViews>
  <sheetFormatPr defaultColWidth="6.85546875" defaultRowHeight="12.75" customHeight="1" x14ac:dyDescent="0.2"/>
  <cols>
    <col min="1" max="1" width="6.42578125" style="167" customWidth="1"/>
    <col min="2" max="2" width="5.85546875" style="167" customWidth="1"/>
    <col min="3" max="5" width="6.85546875" style="167" customWidth="1"/>
    <col min="6" max="8" width="7" style="167" customWidth="1"/>
    <col min="9" max="9" width="8.140625" style="272" customWidth="1"/>
    <col min="10" max="11" width="7" style="272" customWidth="1"/>
    <col min="12" max="12" width="7.42578125" style="167" customWidth="1"/>
    <col min="13" max="13" width="7" style="167" customWidth="1"/>
    <col min="14" max="14" width="5.5703125" style="167" customWidth="1"/>
    <col min="15" max="16" width="6.85546875" style="167" customWidth="1"/>
    <col min="17" max="16384" width="6.85546875" style="168"/>
  </cols>
  <sheetData>
    <row r="1" spans="1:16" s="126" customFormat="1" ht="21" thickTop="1" x14ac:dyDescent="0.3">
      <c r="A1" s="124" t="s">
        <v>144</v>
      </c>
      <c r="B1" s="125"/>
      <c r="C1" s="125"/>
      <c r="D1" s="125"/>
      <c r="E1" s="125"/>
      <c r="F1" s="125"/>
      <c r="G1" s="125"/>
      <c r="H1" s="125"/>
      <c r="I1" s="125"/>
      <c r="J1" s="125"/>
      <c r="K1" s="495" t="str">
        <f>[3]Cover!K1</f>
        <v>Cost Engineering</v>
      </c>
      <c r="L1" s="496"/>
      <c r="M1" s="496"/>
      <c r="N1" s="497"/>
    </row>
    <row r="2" spans="1:16" s="136" customFormat="1" ht="8.25" x14ac:dyDescent="0.15">
      <c r="A2" s="127" t="s">
        <v>145</v>
      </c>
      <c r="B2" s="128"/>
      <c r="C2" s="129"/>
      <c r="D2" s="129"/>
      <c r="E2" s="129"/>
      <c r="F2" s="129"/>
      <c r="G2" s="130"/>
      <c r="H2" s="131" t="s">
        <v>146</v>
      </c>
      <c r="I2" s="132"/>
      <c r="J2" s="133"/>
      <c r="K2" s="134" t="s">
        <v>147</v>
      </c>
      <c r="L2" s="132"/>
      <c r="M2" s="134" t="s">
        <v>148</v>
      </c>
      <c r="N2" s="135"/>
    </row>
    <row r="3" spans="1:16" s="137" customFormat="1" x14ac:dyDescent="0.2">
      <c r="A3" s="498"/>
      <c r="B3" s="499"/>
      <c r="C3" s="499"/>
      <c r="D3" s="499"/>
      <c r="E3" s="499"/>
      <c r="F3" s="499"/>
      <c r="G3" s="500"/>
      <c r="H3" s="501"/>
      <c r="I3" s="499"/>
      <c r="J3" s="500"/>
      <c r="K3" s="502"/>
      <c r="L3" s="503"/>
      <c r="M3" s="502"/>
      <c r="N3" s="504"/>
    </row>
    <row r="4" spans="1:16" s="136" customFormat="1" ht="8.25" x14ac:dyDescent="0.15">
      <c r="A4" s="127" t="s">
        <v>149</v>
      </c>
      <c r="B4" s="129"/>
      <c r="C4" s="129"/>
      <c r="D4" s="129"/>
      <c r="E4" s="129"/>
      <c r="F4" s="129"/>
      <c r="G4" s="130" t="s">
        <v>150</v>
      </c>
      <c r="H4" s="136" t="s">
        <v>151</v>
      </c>
      <c r="K4" s="134" t="s">
        <v>152</v>
      </c>
      <c r="L4" s="132"/>
      <c r="M4" s="132"/>
      <c r="N4" s="138"/>
    </row>
    <row r="5" spans="1:16" s="137" customFormat="1" x14ac:dyDescent="0.2">
      <c r="A5" s="505" t="str">
        <f>[3]Cover!A3</f>
        <v xml:space="preserve">Umatac River Maintenance and Bank Stabilization </v>
      </c>
      <c r="B5" s="499"/>
      <c r="C5" s="499"/>
      <c r="D5" s="499"/>
      <c r="E5" s="499"/>
      <c r="F5" s="499"/>
      <c r="G5" s="500"/>
      <c r="H5" s="501">
        <f>[3]Cover!H5</f>
        <v>0</v>
      </c>
      <c r="I5" s="499"/>
      <c r="J5" s="500"/>
      <c r="K5" s="506">
        <f>[3]Cover!K5</f>
        <v>0</v>
      </c>
      <c r="L5" s="507"/>
      <c r="M5" s="507"/>
      <c r="N5" s="508"/>
    </row>
    <row r="6" spans="1:16" s="143" customFormat="1" ht="8.25" x14ac:dyDescent="0.15">
      <c r="A6" s="127" t="s">
        <v>153</v>
      </c>
      <c r="B6" s="139"/>
      <c r="C6" s="140"/>
      <c r="D6" s="131" t="s">
        <v>154</v>
      </c>
      <c r="E6" s="141"/>
      <c r="F6" s="134" t="s">
        <v>155</v>
      </c>
      <c r="G6" s="142"/>
      <c r="H6" s="131" t="s">
        <v>156</v>
      </c>
      <c r="J6" s="144"/>
      <c r="K6" s="145" t="s">
        <v>157</v>
      </c>
      <c r="M6" s="146" t="s">
        <v>158</v>
      </c>
      <c r="N6" s="147"/>
    </row>
    <row r="7" spans="1:16" s="137" customFormat="1" ht="13.5" thickBot="1" x14ac:dyDescent="0.25">
      <c r="A7" s="485" t="str">
        <f>[3]Cover!A7</f>
        <v>Michael P. Jacobs</v>
      </c>
      <c r="B7" s="486"/>
      <c r="C7" s="487"/>
      <c r="D7" s="488"/>
      <c r="E7" s="489"/>
      <c r="F7" s="490" t="str">
        <f>[3]Cover!F7</f>
        <v>NWW EC-E</v>
      </c>
      <c r="G7" s="487"/>
      <c r="H7" s="491"/>
      <c r="I7" s="492"/>
      <c r="J7" s="493"/>
      <c r="K7" s="491"/>
      <c r="L7" s="493"/>
      <c r="M7" s="491" t="str">
        <f>[3]Cover!M7</f>
        <v>G4L1X00</v>
      </c>
      <c r="N7" s="494"/>
    </row>
    <row r="8" spans="1:16" s="154" customFormat="1" ht="8.25" x14ac:dyDescent="0.25">
      <c r="A8" s="148" t="s">
        <v>159</v>
      </c>
      <c r="B8" s="149"/>
      <c r="C8" s="149"/>
      <c r="D8" s="150" t="s">
        <v>160</v>
      </c>
      <c r="E8" s="150" t="s">
        <v>161</v>
      </c>
      <c r="F8" s="149" t="s">
        <v>162</v>
      </c>
      <c r="G8" s="151"/>
      <c r="H8" s="151"/>
      <c r="I8" s="151"/>
      <c r="J8" s="151"/>
      <c r="K8" s="151"/>
      <c r="L8" s="151"/>
      <c r="M8" s="149"/>
      <c r="N8" s="152"/>
      <c r="O8" s="153"/>
      <c r="P8" s="153"/>
    </row>
    <row r="9" spans="1:16" s="161" customFormat="1" ht="12.75" customHeight="1" thickBot="1" x14ac:dyDescent="0.25">
      <c r="A9" s="520"/>
      <c r="B9" s="521"/>
      <c r="C9" s="522"/>
      <c r="D9" s="155"/>
      <c r="E9" s="156" t="s">
        <v>318</v>
      </c>
      <c r="F9" s="523"/>
      <c r="G9" s="523"/>
      <c r="H9" s="523"/>
      <c r="I9" s="523"/>
      <c r="J9" s="157"/>
      <c r="K9" s="158"/>
      <c r="L9" s="157"/>
      <c r="M9" s="158"/>
      <c r="N9" s="159"/>
      <c r="O9" s="160"/>
      <c r="P9" s="160"/>
    </row>
    <row r="10" spans="1:16" s="166" customFormat="1" ht="12.75" customHeight="1" x14ac:dyDescent="0.2">
      <c r="A10" s="162" t="s">
        <v>163</v>
      </c>
      <c r="B10" s="163"/>
      <c r="C10" s="163"/>
      <c r="D10" s="163"/>
      <c r="E10" s="163"/>
      <c r="F10" s="163"/>
      <c r="G10" s="163"/>
      <c r="H10" s="163"/>
      <c r="I10" s="163"/>
      <c r="J10" s="163"/>
      <c r="K10" s="163"/>
      <c r="L10" s="163"/>
      <c r="M10" s="163"/>
      <c r="N10" s="164"/>
      <c r="O10" s="165"/>
      <c r="P10" s="165"/>
    </row>
    <row r="11" spans="1:16" ht="12.75" customHeight="1" x14ac:dyDescent="0.2">
      <c r="A11" s="524" t="s">
        <v>164</v>
      </c>
      <c r="B11" s="525"/>
      <c r="C11" s="525"/>
      <c r="D11" s="525"/>
      <c r="E11" s="525"/>
      <c r="F11" s="525"/>
      <c r="G11" s="525"/>
      <c r="H11" s="525"/>
      <c r="I11" s="525"/>
      <c r="J11" s="525"/>
      <c r="K11" s="525"/>
      <c r="L11" s="525"/>
      <c r="M11" s="525"/>
      <c r="N11" s="526"/>
    </row>
    <row r="12" spans="1:16" ht="12.75" customHeight="1" x14ac:dyDescent="0.2">
      <c r="A12" s="169"/>
      <c r="B12" s="163"/>
      <c r="C12" s="163"/>
      <c r="D12" s="163"/>
      <c r="E12" s="163"/>
      <c r="F12" s="163"/>
      <c r="G12" s="163"/>
      <c r="H12" s="163"/>
      <c r="I12" s="163"/>
      <c r="J12" s="163"/>
      <c r="K12" s="163"/>
      <c r="L12" s="163"/>
      <c r="M12" s="163"/>
      <c r="N12" s="164"/>
    </row>
    <row r="13" spans="1:16" ht="12.75" customHeight="1" x14ac:dyDescent="0.2">
      <c r="A13" s="169"/>
      <c r="B13" s="163"/>
      <c r="C13" s="163"/>
      <c r="D13" s="163"/>
      <c r="E13" s="163"/>
      <c r="F13" s="163"/>
      <c r="G13" s="163"/>
      <c r="H13" s="163"/>
      <c r="I13" s="163"/>
      <c r="J13" s="163"/>
      <c r="K13" s="163"/>
      <c r="L13" s="163"/>
      <c r="M13" s="163"/>
      <c r="N13" s="164"/>
    </row>
    <row r="14" spans="1:16" ht="12.75" customHeight="1" x14ac:dyDescent="0.2">
      <c r="A14" s="169"/>
      <c r="B14" s="163"/>
      <c r="C14" s="163"/>
      <c r="D14" s="163"/>
      <c r="E14" s="163"/>
      <c r="F14" s="163"/>
      <c r="G14" s="163"/>
      <c r="H14" s="163"/>
      <c r="I14" s="163"/>
      <c r="J14" s="163"/>
      <c r="K14" s="163"/>
      <c r="L14" s="163"/>
      <c r="M14" s="163"/>
      <c r="N14" s="164"/>
    </row>
    <row r="15" spans="1:16" ht="12.75" customHeight="1" x14ac:dyDescent="0.2">
      <c r="A15" s="169"/>
      <c r="B15" s="163"/>
      <c r="C15" s="163"/>
      <c r="D15" s="163"/>
      <c r="E15" s="163"/>
      <c r="F15" s="163"/>
      <c r="G15" s="163"/>
      <c r="H15" s="163"/>
      <c r="I15" s="163"/>
      <c r="J15" s="163"/>
      <c r="K15" s="163"/>
      <c r="L15" s="163"/>
      <c r="M15" s="163"/>
      <c r="N15" s="164"/>
    </row>
    <row r="16" spans="1:16" ht="12.75" customHeight="1" x14ac:dyDescent="0.2">
      <c r="A16" s="169"/>
      <c r="B16" s="163"/>
      <c r="C16" s="163"/>
      <c r="D16" s="163"/>
      <c r="E16" s="163"/>
      <c r="F16" s="163"/>
      <c r="G16" s="163"/>
      <c r="H16" s="163"/>
      <c r="I16" s="163"/>
      <c r="J16" s="163"/>
      <c r="K16" s="163"/>
      <c r="L16" s="163"/>
      <c r="M16" s="163"/>
      <c r="N16" s="164"/>
    </row>
    <row r="17" spans="1:16" ht="12.75" customHeight="1" x14ac:dyDescent="0.2">
      <c r="A17" s="169"/>
      <c r="B17" s="163"/>
      <c r="C17" s="163"/>
      <c r="D17" s="163"/>
      <c r="E17" s="163"/>
      <c r="F17" s="163"/>
      <c r="G17" s="163"/>
      <c r="H17" s="163"/>
      <c r="I17" s="163"/>
      <c r="J17" s="163"/>
      <c r="K17" s="163"/>
      <c r="L17" s="163"/>
      <c r="M17" s="163"/>
      <c r="N17" s="164"/>
    </row>
    <row r="18" spans="1:16" ht="12.75" customHeight="1" thickBot="1" x14ac:dyDescent="0.25">
      <c r="A18" s="170"/>
      <c r="B18" s="171"/>
      <c r="C18" s="171"/>
      <c r="D18" s="171"/>
      <c r="E18" s="171"/>
      <c r="F18" s="171"/>
      <c r="G18" s="171"/>
      <c r="H18" s="171"/>
      <c r="I18" s="171"/>
      <c r="J18" s="171"/>
      <c r="K18" s="171"/>
      <c r="L18" s="171"/>
      <c r="M18" s="171"/>
      <c r="N18" s="172"/>
    </row>
    <row r="19" spans="1:16" ht="12.75" customHeight="1" x14ac:dyDescent="0.2">
      <c r="A19" s="173" t="s">
        <v>165</v>
      </c>
      <c r="B19" s="163"/>
      <c r="C19" s="163"/>
      <c r="D19" s="163"/>
      <c r="E19" s="163"/>
      <c r="F19" s="163"/>
      <c r="G19" s="163"/>
      <c r="H19" s="163"/>
      <c r="I19" s="163"/>
      <c r="J19" s="163"/>
      <c r="K19" s="163"/>
      <c r="L19" s="163"/>
      <c r="M19" s="163"/>
      <c r="N19" s="164"/>
    </row>
    <row r="20" spans="1:16" s="166" customFormat="1" ht="12.75" customHeight="1" x14ac:dyDescent="0.2">
      <c r="A20" s="169"/>
      <c r="B20" s="527"/>
      <c r="C20" s="528"/>
      <c r="D20" s="174" t="s">
        <v>166</v>
      </c>
      <c r="F20" s="175"/>
      <c r="G20" s="166" t="s">
        <v>167</v>
      </c>
      <c r="H20" s="174"/>
      <c r="K20" s="529"/>
      <c r="L20" s="530"/>
      <c r="M20" s="176" t="s">
        <v>168</v>
      </c>
      <c r="N20" s="177"/>
      <c r="O20" s="165"/>
      <c r="P20" s="165"/>
    </row>
    <row r="21" spans="1:16" s="166" customFormat="1" ht="12.75" customHeight="1" x14ac:dyDescent="0.2">
      <c r="A21" s="169"/>
      <c r="B21" s="178" t="s">
        <v>169</v>
      </c>
      <c r="D21" s="179"/>
      <c r="E21" s="174"/>
      <c r="F21" s="180">
        <f>G37/8</f>
        <v>20.5</v>
      </c>
      <c r="G21" s="181" t="s">
        <v>170</v>
      </c>
      <c r="H21" s="176"/>
      <c r="I21" s="181"/>
      <c r="L21" s="182"/>
      <c r="M21" s="182"/>
      <c r="N21" s="183"/>
      <c r="O21" s="165"/>
      <c r="P21" s="165"/>
    </row>
    <row r="22" spans="1:16" s="166" customFormat="1" ht="12.75" customHeight="1" x14ac:dyDescent="0.2">
      <c r="A22" s="169"/>
      <c r="B22" s="531"/>
      <c r="C22" s="531"/>
      <c r="D22" s="531"/>
      <c r="E22" s="531"/>
      <c r="F22" s="184"/>
      <c r="G22" s="181"/>
      <c r="H22" s="176"/>
      <c r="I22" s="181"/>
      <c r="L22" s="182"/>
      <c r="M22" s="182"/>
      <c r="N22" s="183"/>
      <c r="O22" s="165"/>
      <c r="P22" s="165"/>
    </row>
    <row r="23" spans="1:16" s="166" customFormat="1" ht="6.6" customHeight="1" thickBot="1" x14ac:dyDescent="0.25">
      <c r="A23" s="170"/>
      <c r="B23" s="171"/>
      <c r="C23" s="171"/>
      <c r="D23" s="171"/>
      <c r="E23" s="171"/>
      <c r="F23" s="171"/>
      <c r="G23" s="171"/>
      <c r="H23" s="171"/>
      <c r="I23" s="171"/>
      <c r="J23" s="171"/>
      <c r="K23" s="171"/>
      <c r="L23" s="171"/>
      <c r="M23" s="171"/>
      <c r="N23" s="172"/>
      <c r="O23" s="165"/>
      <c r="P23" s="165"/>
    </row>
    <row r="24" spans="1:16" s="166" customFormat="1" x14ac:dyDescent="0.2">
      <c r="A24" s="185" t="s">
        <v>171</v>
      </c>
      <c r="B24" s="160"/>
      <c r="C24" s="160"/>
      <c r="D24" s="165"/>
      <c r="E24" s="165"/>
      <c r="F24" s="165"/>
      <c r="G24" s="186"/>
      <c r="H24" s="187"/>
      <c r="I24" s="165"/>
      <c r="J24" s="165"/>
      <c r="K24" s="165"/>
      <c r="L24" s="188"/>
      <c r="M24" s="165"/>
      <c r="N24" s="189"/>
      <c r="O24" s="165"/>
      <c r="P24" s="165"/>
    </row>
    <row r="25" spans="1:16" s="194" customFormat="1" ht="8.25" x14ac:dyDescent="0.15">
      <c r="A25" s="190"/>
      <c r="B25" s="509" t="s">
        <v>172</v>
      </c>
      <c r="C25" s="510"/>
      <c r="D25" s="509" t="s">
        <v>173</v>
      </c>
      <c r="E25" s="513"/>
      <c r="F25" s="510"/>
      <c r="G25" s="515" t="s">
        <v>174</v>
      </c>
      <c r="H25" s="191"/>
      <c r="I25" s="515" t="s">
        <v>175</v>
      </c>
      <c r="J25" s="191"/>
      <c r="K25" s="191"/>
      <c r="L25" s="515" t="s">
        <v>176</v>
      </c>
      <c r="M25" s="192"/>
      <c r="N25" s="193"/>
      <c r="O25" s="192"/>
      <c r="P25" s="192"/>
    </row>
    <row r="26" spans="1:16" s="194" customFormat="1" ht="8.25" x14ac:dyDescent="0.15">
      <c r="A26" s="195"/>
      <c r="B26" s="511"/>
      <c r="C26" s="512"/>
      <c r="D26" s="511"/>
      <c r="E26" s="514"/>
      <c r="F26" s="512"/>
      <c r="G26" s="516"/>
      <c r="H26" s="196"/>
      <c r="I26" s="516"/>
      <c r="J26" s="191"/>
      <c r="K26" s="191"/>
      <c r="L26" s="516"/>
      <c r="M26" s="197"/>
      <c r="N26" s="198"/>
      <c r="O26" s="192"/>
      <c r="P26" s="192"/>
    </row>
    <row r="27" spans="1:16" s="166" customFormat="1" x14ac:dyDescent="0.2">
      <c r="A27" s="199"/>
      <c r="B27" s="517" t="s">
        <v>177</v>
      </c>
      <c r="C27" s="518"/>
      <c r="D27" s="517" t="s">
        <v>178</v>
      </c>
      <c r="E27" s="519"/>
      <c r="F27" s="518"/>
      <c r="G27" s="200">
        <f>F63</f>
        <v>0</v>
      </c>
      <c r="H27" s="166" t="s">
        <v>179</v>
      </c>
      <c r="I27" s="201"/>
      <c r="J27" s="202" t="s">
        <v>180</v>
      </c>
      <c r="L27" s="203">
        <f>I27*G27</f>
        <v>0</v>
      </c>
      <c r="M27" s="204"/>
      <c r="N27" s="205"/>
      <c r="O27" s="165"/>
      <c r="P27" s="165"/>
    </row>
    <row r="28" spans="1:16" s="166" customFormat="1" x14ac:dyDescent="0.2">
      <c r="A28" s="199"/>
      <c r="B28" s="517" t="s">
        <v>181</v>
      </c>
      <c r="C28" s="518"/>
      <c r="D28" s="517" t="s">
        <v>182</v>
      </c>
      <c r="E28" s="519"/>
      <c r="F28" s="518"/>
      <c r="G28" s="200">
        <f>G63</f>
        <v>114</v>
      </c>
      <c r="H28" s="166" t="s">
        <v>179</v>
      </c>
      <c r="I28" s="201">
        <v>162</v>
      </c>
      <c r="J28" s="202" t="s">
        <v>180</v>
      </c>
      <c r="L28" s="203">
        <f t="shared" ref="L28:L36" si="0">I28*G28</f>
        <v>18468</v>
      </c>
      <c r="M28" s="204"/>
      <c r="N28" s="205"/>
      <c r="O28" s="165"/>
      <c r="P28" s="165"/>
    </row>
    <row r="29" spans="1:16" s="166" customFormat="1" x14ac:dyDescent="0.2">
      <c r="A29" s="199"/>
      <c r="B29" s="517" t="s">
        <v>181</v>
      </c>
      <c r="C29" s="518"/>
      <c r="D29" s="517" t="s">
        <v>183</v>
      </c>
      <c r="E29" s="519"/>
      <c r="F29" s="518"/>
      <c r="G29" s="206">
        <f>H63</f>
        <v>50</v>
      </c>
      <c r="H29" s="166" t="s">
        <v>179</v>
      </c>
      <c r="I29" s="201">
        <v>170</v>
      </c>
      <c r="J29" s="202" t="s">
        <v>180</v>
      </c>
      <c r="L29" s="203">
        <f t="shared" si="0"/>
        <v>8500</v>
      </c>
      <c r="M29" s="204"/>
      <c r="N29" s="205"/>
      <c r="O29" s="165"/>
      <c r="P29" s="165"/>
    </row>
    <row r="30" spans="1:16" s="166" customFormat="1" x14ac:dyDescent="0.2">
      <c r="A30" s="199"/>
      <c r="B30" s="517" t="s">
        <v>184</v>
      </c>
      <c r="C30" s="518"/>
      <c r="D30" s="517" t="s">
        <v>183</v>
      </c>
      <c r="E30" s="519"/>
      <c r="F30" s="518"/>
      <c r="G30" s="206">
        <f>I63</f>
        <v>0</v>
      </c>
      <c r="H30" s="166" t="s">
        <v>179</v>
      </c>
      <c r="I30" s="201">
        <v>111</v>
      </c>
      <c r="J30" s="202" t="s">
        <v>180</v>
      </c>
      <c r="L30" s="203">
        <f t="shared" si="0"/>
        <v>0</v>
      </c>
      <c r="M30" s="204"/>
      <c r="N30" s="205"/>
      <c r="O30" s="165"/>
      <c r="P30" s="165"/>
    </row>
    <row r="31" spans="1:16" s="166" customFormat="1" x14ac:dyDescent="0.2">
      <c r="A31" s="207"/>
      <c r="B31" s="517" t="s">
        <v>185</v>
      </c>
      <c r="C31" s="518"/>
      <c r="D31" s="517" t="s">
        <v>186</v>
      </c>
      <c r="E31" s="519"/>
      <c r="F31" s="518"/>
      <c r="G31" s="206">
        <f>J63</f>
        <v>0</v>
      </c>
      <c r="H31" s="166" t="s">
        <v>179</v>
      </c>
      <c r="I31" s="201">
        <v>80</v>
      </c>
      <c r="J31" s="202" t="s">
        <v>180</v>
      </c>
      <c r="L31" s="203">
        <f t="shared" si="0"/>
        <v>0</v>
      </c>
      <c r="M31" s="204"/>
      <c r="N31" s="205"/>
      <c r="O31" s="165"/>
      <c r="P31" s="165"/>
    </row>
    <row r="32" spans="1:16" s="166" customFormat="1" x14ac:dyDescent="0.2">
      <c r="A32" s="208"/>
      <c r="B32" s="517" t="s">
        <v>185</v>
      </c>
      <c r="C32" s="518"/>
      <c r="D32" s="517" t="s">
        <v>186</v>
      </c>
      <c r="E32" s="519"/>
      <c r="F32" s="518"/>
      <c r="G32" s="206">
        <f>K63</f>
        <v>0</v>
      </c>
      <c r="H32" s="166" t="s">
        <v>179</v>
      </c>
      <c r="I32" s="201">
        <v>80</v>
      </c>
      <c r="J32" s="202" t="s">
        <v>180</v>
      </c>
      <c r="L32" s="203">
        <f t="shared" si="0"/>
        <v>0</v>
      </c>
      <c r="M32" s="204"/>
      <c r="N32" s="205"/>
      <c r="O32" s="165"/>
      <c r="P32" s="165"/>
    </row>
    <row r="33" spans="1:16" s="166" customFormat="1" x14ac:dyDescent="0.2">
      <c r="A33" s="185"/>
      <c r="B33" s="517" t="s">
        <v>187</v>
      </c>
      <c r="C33" s="518"/>
      <c r="D33" s="517" t="s">
        <v>188</v>
      </c>
      <c r="E33" s="519"/>
      <c r="F33" s="518"/>
      <c r="G33" s="206">
        <f>L63</f>
        <v>0</v>
      </c>
      <c r="H33" s="166" t="s">
        <v>179</v>
      </c>
      <c r="I33" s="201">
        <v>70</v>
      </c>
      <c r="J33" s="202" t="s">
        <v>180</v>
      </c>
      <c r="L33" s="203">
        <f t="shared" si="0"/>
        <v>0</v>
      </c>
      <c r="M33" s="204"/>
      <c r="N33" s="205"/>
      <c r="O33" s="165"/>
      <c r="P33" s="165"/>
    </row>
    <row r="34" spans="1:16" s="166" customFormat="1" x14ac:dyDescent="0.2">
      <c r="A34" s="185"/>
      <c r="B34" s="517" t="s">
        <v>189</v>
      </c>
      <c r="C34" s="518"/>
      <c r="D34" s="517" t="s">
        <v>190</v>
      </c>
      <c r="E34" s="519"/>
      <c r="F34" s="518"/>
      <c r="G34" s="206">
        <f>M63</f>
        <v>0</v>
      </c>
      <c r="H34" s="166" t="s">
        <v>179</v>
      </c>
      <c r="I34" s="201">
        <v>55</v>
      </c>
      <c r="J34" s="202" t="s">
        <v>180</v>
      </c>
      <c r="L34" s="203">
        <f t="shared" si="0"/>
        <v>0</v>
      </c>
      <c r="M34" s="204"/>
      <c r="N34" s="205"/>
      <c r="O34" s="165"/>
      <c r="P34" s="165"/>
    </row>
    <row r="35" spans="1:16" s="166" customFormat="1" x14ac:dyDescent="0.2">
      <c r="A35" s="185"/>
      <c r="B35" s="517" t="s">
        <v>191</v>
      </c>
      <c r="C35" s="518"/>
      <c r="D35" s="517" t="s">
        <v>192</v>
      </c>
      <c r="E35" s="519"/>
      <c r="F35" s="518"/>
      <c r="G35" s="206">
        <f>N63</f>
        <v>0</v>
      </c>
      <c r="H35" s="166" t="s">
        <v>179</v>
      </c>
      <c r="I35" s="201">
        <v>45</v>
      </c>
      <c r="J35" s="202" t="s">
        <v>180</v>
      </c>
      <c r="L35" s="203">
        <f t="shared" si="0"/>
        <v>0</v>
      </c>
      <c r="M35" s="204"/>
      <c r="N35" s="205"/>
      <c r="O35" s="165"/>
      <c r="P35" s="165"/>
    </row>
    <row r="36" spans="1:16" s="166" customFormat="1" x14ac:dyDescent="0.2">
      <c r="A36" s="185"/>
      <c r="B36" s="209" t="s">
        <v>193</v>
      </c>
      <c r="C36" s="210"/>
      <c r="D36" s="211"/>
      <c r="E36" s="212"/>
      <c r="F36" s="213">
        <v>0</v>
      </c>
      <c r="G36" s="206">
        <f>ROUNDUP(SUM(G27:G35)*F36,0)</f>
        <v>0</v>
      </c>
      <c r="H36" s="166" t="s">
        <v>179</v>
      </c>
      <c r="I36" s="201">
        <v>153</v>
      </c>
      <c r="J36" s="202" t="s">
        <v>180</v>
      </c>
      <c r="L36" s="203">
        <f t="shared" si="0"/>
        <v>0</v>
      </c>
      <c r="M36" s="204"/>
      <c r="N36" s="205"/>
      <c r="O36" s="165"/>
      <c r="P36" s="165"/>
    </row>
    <row r="37" spans="1:16" s="166" customFormat="1" ht="13.5" thickBot="1" x14ac:dyDescent="0.25">
      <c r="A37" s="185"/>
      <c r="B37" s="160"/>
      <c r="C37" s="160"/>
      <c r="D37" s="165"/>
      <c r="E37" s="214"/>
      <c r="F37" s="215" t="s">
        <v>194</v>
      </c>
      <c r="G37" s="206">
        <f>SUM(G27:G36)</f>
        <v>164</v>
      </c>
      <c r="I37" s="215"/>
      <c r="N37" s="205"/>
      <c r="O37" s="165"/>
      <c r="P37" s="165"/>
    </row>
    <row r="38" spans="1:16" s="166" customFormat="1" ht="13.5" thickBot="1" x14ac:dyDescent="0.25">
      <c r="A38" s="185"/>
      <c r="B38" s="160"/>
      <c r="C38" s="160"/>
      <c r="D38" s="165"/>
      <c r="E38" s="165"/>
      <c r="F38" s="165"/>
      <c r="I38" s="216" t="s">
        <v>195</v>
      </c>
      <c r="J38" s="217">
        <f>IF(G37&gt;0,M38/G37,0)</f>
        <v>164.4390243902439</v>
      </c>
      <c r="K38" s="218"/>
      <c r="L38" s="219" t="s">
        <v>196</v>
      </c>
      <c r="M38" s="535">
        <f>SUM(L27:L36)</f>
        <v>26968</v>
      </c>
      <c r="N38" s="536"/>
      <c r="O38" s="165"/>
      <c r="P38" s="165"/>
    </row>
    <row r="39" spans="1:16" s="166" customFormat="1" x14ac:dyDescent="0.2">
      <c r="A39" s="185" t="s">
        <v>197</v>
      </c>
      <c r="B39" s="165"/>
      <c r="C39" s="165"/>
      <c r="D39" s="165"/>
      <c r="E39" s="165"/>
      <c r="F39" s="165"/>
      <c r="G39" s="165"/>
      <c r="H39" s="165"/>
      <c r="I39" s="214"/>
      <c r="J39" s="165"/>
      <c r="K39" s="165"/>
      <c r="L39" s="186"/>
      <c r="M39" s="214"/>
      <c r="N39" s="220"/>
      <c r="O39" s="165"/>
      <c r="P39" s="165"/>
    </row>
    <row r="40" spans="1:16" s="166" customFormat="1" x14ac:dyDescent="0.2">
      <c r="A40" s="221"/>
      <c r="B40" s="222" t="s">
        <v>198</v>
      </c>
      <c r="C40" s="222"/>
      <c r="D40" s="532" t="s">
        <v>199</v>
      </c>
      <c r="E40" s="532"/>
      <c r="G40" s="223"/>
      <c r="H40" s="165" t="s">
        <v>200</v>
      </c>
      <c r="I40" s="224">
        <v>55</v>
      </c>
      <c r="J40" s="165" t="s">
        <v>201</v>
      </c>
      <c r="K40" s="165"/>
      <c r="L40" s="225">
        <f>G40*I40</f>
        <v>0</v>
      </c>
      <c r="M40" s="215"/>
      <c r="N40" s="220"/>
      <c r="O40" s="165"/>
      <c r="P40" s="165"/>
    </row>
    <row r="41" spans="1:16" s="166" customFormat="1" ht="13.5" thickBot="1" x14ac:dyDescent="0.25">
      <c r="A41" s="221"/>
      <c r="B41" s="222" t="s">
        <v>202</v>
      </c>
      <c r="C41" s="222"/>
      <c r="D41" s="532"/>
      <c r="E41" s="532"/>
      <c r="G41" s="223"/>
      <c r="H41" s="165" t="s">
        <v>203</v>
      </c>
      <c r="I41" s="224">
        <v>0</v>
      </c>
      <c r="J41" s="165" t="s">
        <v>204</v>
      </c>
      <c r="K41" s="165"/>
      <c r="L41" s="225">
        <f>G41*I41</f>
        <v>0</v>
      </c>
      <c r="M41" s="215"/>
      <c r="N41" s="220"/>
      <c r="O41" s="165"/>
      <c r="P41" s="165"/>
    </row>
    <row r="42" spans="1:16" s="166" customFormat="1" ht="13.5" thickBot="1" x14ac:dyDescent="0.25">
      <c r="A42" s="221"/>
      <c r="B42" s="165"/>
      <c r="C42" s="165"/>
      <c r="D42" s="226"/>
      <c r="E42" s="222"/>
      <c r="F42" s="165"/>
      <c r="G42" s="165"/>
      <c r="H42" s="165"/>
      <c r="I42" s="227"/>
      <c r="J42" s="218"/>
      <c r="K42" s="218"/>
      <c r="L42" s="219" t="s">
        <v>196</v>
      </c>
      <c r="M42" s="533">
        <f>SUM(L40:L41)</f>
        <v>0</v>
      </c>
      <c r="N42" s="534"/>
      <c r="O42" s="165"/>
      <c r="P42" s="165"/>
    </row>
    <row r="43" spans="1:16" s="166" customFormat="1" x14ac:dyDescent="0.2">
      <c r="A43" s="185" t="s">
        <v>205</v>
      </c>
      <c r="B43" s="165"/>
      <c r="C43" s="165"/>
      <c r="D43" s="222"/>
      <c r="E43" s="228"/>
      <c r="F43" s="165"/>
      <c r="G43" s="165"/>
      <c r="H43" s="165"/>
      <c r="I43" s="229"/>
      <c r="J43" s="186"/>
      <c r="K43" s="186"/>
      <c r="M43" s="230"/>
      <c r="N43" s="220"/>
      <c r="O43" s="165"/>
      <c r="P43" s="165"/>
    </row>
    <row r="44" spans="1:16" s="166" customFormat="1" x14ac:dyDescent="0.2">
      <c r="A44" s="221"/>
      <c r="B44" s="222" t="s">
        <v>206</v>
      </c>
      <c r="C44" s="222"/>
      <c r="D44" s="532"/>
      <c r="E44" s="532"/>
      <c r="F44" s="165"/>
      <c r="G44" s="223"/>
      <c r="H44" s="165" t="s">
        <v>200</v>
      </c>
      <c r="I44" s="224">
        <f>93+51</f>
        <v>144</v>
      </c>
      <c r="J44" s="165" t="s">
        <v>201</v>
      </c>
      <c r="K44" s="165"/>
      <c r="L44" s="225">
        <f>G44*I44</f>
        <v>0</v>
      </c>
      <c r="M44" s="231"/>
      <c r="N44" s="220"/>
      <c r="O44" s="165"/>
      <c r="P44" s="165"/>
    </row>
    <row r="45" spans="1:16" s="166" customFormat="1" x14ac:dyDescent="0.2">
      <c r="A45" s="221"/>
      <c r="B45" s="222" t="s">
        <v>207</v>
      </c>
      <c r="C45" s="222"/>
      <c r="D45" s="532"/>
      <c r="E45" s="532"/>
      <c r="F45" s="165"/>
      <c r="G45" s="223"/>
      <c r="H45" s="165" t="s">
        <v>208</v>
      </c>
      <c r="I45" s="224">
        <v>250</v>
      </c>
      <c r="J45" s="165" t="s">
        <v>209</v>
      </c>
      <c r="K45" s="165"/>
      <c r="L45" s="225">
        <f>G45*I45</f>
        <v>0</v>
      </c>
      <c r="M45" s="215"/>
      <c r="N45" s="220"/>
      <c r="O45" s="165"/>
      <c r="P45" s="165"/>
    </row>
    <row r="46" spans="1:16" x14ac:dyDescent="0.2">
      <c r="A46" s="185"/>
      <c r="B46" s="222" t="s">
        <v>210</v>
      </c>
      <c r="C46" s="222"/>
      <c r="D46" s="532"/>
      <c r="E46" s="532"/>
      <c r="F46" s="165"/>
      <c r="G46" s="223"/>
      <c r="H46" s="165" t="s">
        <v>211</v>
      </c>
      <c r="I46" s="224">
        <f>1685.3</f>
        <v>1685.3</v>
      </c>
      <c r="J46" s="165" t="s">
        <v>212</v>
      </c>
      <c r="K46" s="165"/>
      <c r="L46" s="225">
        <f>G46*I46</f>
        <v>0</v>
      </c>
      <c r="M46" s="215"/>
      <c r="N46" s="232"/>
    </row>
    <row r="47" spans="1:16" s="166" customFormat="1" x14ac:dyDescent="0.2">
      <c r="A47" s="185"/>
      <c r="B47" s="222" t="s">
        <v>213</v>
      </c>
      <c r="C47" s="222"/>
      <c r="D47" s="532"/>
      <c r="E47" s="532"/>
      <c r="F47" s="165"/>
      <c r="I47" s="233">
        <v>0</v>
      </c>
      <c r="J47" s="165" t="s">
        <v>204</v>
      </c>
      <c r="K47" s="165"/>
      <c r="L47" s="225">
        <f>I47</f>
        <v>0</v>
      </c>
      <c r="M47" s="215"/>
      <c r="N47" s="220"/>
      <c r="O47" s="165"/>
      <c r="P47" s="165"/>
    </row>
    <row r="48" spans="1:16" s="166" customFormat="1" ht="13.5" thickBot="1" x14ac:dyDescent="0.25">
      <c r="A48" s="221"/>
      <c r="B48" s="234" t="s">
        <v>214</v>
      </c>
      <c r="C48" s="234"/>
      <c r="D48" s="532" t="s">
        <v>215</v>
      </c>
      <c r="E48" s="532"/>
      <c r="I48" s="235">
        <v>0</v>
      </c>
      <c r="J48" s="165" t="s">
        <v>204</v>
      </c>
      <c r="K48" s="165"/>
      <c r="L48" s="225">
        <f>I48</f>
        <v>0</v>
      </c>
      <c r="M48" s="215"/>
      <c r="N48" s="220"/>
      <c r="O48" s="165"/>
      <c r="P48" s="165"/>
    </row>
    <row r="49" spans="1:16" s="166" customFormat="1" ht="13.5" thickBot="1" x14ac:dyDescent="0.25">
      <c r="A49" s="221"/>
      <c r="B49" s="165"/>
      <c r="C49" s="165"/>
      <c r="D49" s="226"/>
      <c r="E49" s="222"/>
      <c r="F49" s="165"/>
      <c r="G49" s="165"/>
      <c r="H49" s="165"/>
      <c r="I49" s="227"/>
      <c r="J49" s="236"/>
      <c r="K49" s="236"/>
      <c r="L49" s="219" t="s">
        <v>196</v>
      </c>
      <c r="M49" s="533">
        <f>SUM(L44:L48)</f>
        <v>0</v>
      </c>
      <c r="N49" s="534"/>
      <c r="O49" s="165"/>
      <c r="P49" s="165"/>
    </row>
    <row r="50" spans="1:16" s="166" customFormat="1" x14ac:dyDescent="0.2">
      <c r="A50" s="185" t="s">
        <v>216</v>
      </c>
      <c r="B50" s="165"/>
      <c r="C50" s="165"/>
      <c r="D50" s="222"/>
      <c r="E50" s="222"/>
      <c r="F50" s="165"/>
      <c r="G50" s="165"/>
      <c r="H50" s="165"/>
      <c r="I50" s="229"/>
      <c r="J50" s="186"/>
      <c r="K50" s="186"/>
      <c r="L50" s="167"/>
      <c r="M50" s="230"/>
      <c r="N50" s="220"/>
      <c r="O50" s="165"/>
      <c r="P50" s="165"/>
    </row>
    <row r="51" spans="1:16" x14ac:dyDescent="0.2">
      <c r="A51" s="221"/>
      <c r="B51" s="165" t="s">
        <v>217</v>
      </c>
      <c r="C51" s="165"/>
      <c r="D51" s="532" t="s">
        <v>218</v>
      </c>
      <c r="E51" s="532"/>
      <c r="F51" s="166"/>
      <c r="G51" s="206">
        <f>G86</f>
        <v>0</v>
      </c>
      <c r="H51" s="166" t="s">
        <v>179</v>
      </c>
      <c r="I51" s="235">
        <v>42</v>
      </c>
      <c r="J51" s="165" t="s">
        <v>180</v>
      </c>
      <c r="K51" s="165"/>
      <c r="L51" s="225">
        <f>I51*G51</f>
        <v>0</v>
      </c>
      <c r="M51" s="215"/>
      <c r="N51" s="232"/>
    </row>
    <row r="52" spans="1:16" s="166" customFormat="1" ht="13.5" thickBot="1" x14ac:dyDescent="0.25">
      <c r="A52" s="185"/>
      <c r="B52" s="222" t="s">
        <v>219</v>
      </c>
      <c r="C52" s="222"/>
      <c r="D52" s="532" t="s">
        <v>220</v>
      </c>
      <c r="E52" s="532"/>
      <c r="G52" s="237"/>
      <c r="H52" s="165"/>
      <c r="I52" s="224"/>
      <c r="J52" s="165" t="s">
        <v>204</v>
      </c>
      <c r="K52" s="165"/>
      <c r="L52" s="225">
        <f>I52</f>
        <v>0</v>
      </c>
      <c r="M52" s="215"/>
      <c r="N52" s="220"/>
      <c r="O52" s="165"/>
      <c r="P52" s="165"/>
    </row>
    <row r="53" spans="1:16" s="166" customFormat="1" ht="17.45" customHeight="1" thickBot="1" x14ac:dyDescent="0.25">
      <c r="A53" s="221"/>
      <c r="B53" s="165"/>
      <c r="C53" s="165"/>
      <c r="E53" s="165"/>
      <c r="F53" s="165"/>
      <c r="G53" s="165"/>
      <c r="H53" s="165"/>
      <c r="I53" s="219"/>
      <c r="J53" s="218"/>
      <c r="K53" s="218"/>
      <c r="L53" s="219" t="s">
        <v>196</v>
      </c>
      <c r="M53" s="533">
        <f>SUM(L51:L52)</f>
        <v>0</v>
      </c>
      <c r="N53" s="534"/>
      <c r="O53" s="165"/>
      <c r="P53" s="165"/>
    </row>
    <row r="54" spans="1:16" ht="10.35" customHeight="1" thickBot="1" x14ac:dyDescent="0.25">
      <c r="A54" s="208"/>
      <c r="D54" s="168"/>
      <c r="I54" s="238"/>
      <c r="J54" s="239"/>
      <c r="K54" s="239"/>
      <c r="L54" s="240"/>
      <c r="M54" s="241"/>
      <c r="N54" s="232"/>
    </row>
    <row r="55" spans="1:16" s="166" customFormat="1" ht="13.5" thickBot="1" x14ac:dyDescent="0.25">
      <c r="A55" s="185" t="s">
        <v>221</v>
      </c>
      <c r="B55" s="165"/>
      <c r="C55" s="165"/>
      <c r="E55" s="165"/>
      <c r="F55" s="165"/>
      <c r="I55" s="235"/>
      <c r="J55" s="165" t="s">
        <v>204</v>
      </c>
      <c r="K55" s="165"/>
      <c r="L55" s="219" t="s">
        <v>196</v>
      </c>
      <c r="M55" s="533">
        <f>I55</f>
        <v>0</v>
      </c>
      <c r="N55" s="534"/>
      <c r="O55" s="165"/>
      <c r="P55" s="165"/>
    </row>
    <row r="56" spans="1:16" s="166" customFormat="1" ht="13.5" thickBot="1" x14ac:dyDescent="0.25">
      <c r="A56" s="185" t="s">
        <v>222</v>
      </c>
      <c r="E56" s="165"/>
      <c r="F56" s="537"/>
      <c r="G56" s="537"/>
      <c r="I56" s="235"/>
      <c r="J56" s="165" t="s">
        <v>204</v>
      </c>
      <c r="K56" s="165"/>
      <c r="L56" s="219" t="s">
        <v>196</v>
      </c>
      <c r="M56" s="533">
        <f>I56</f>
        <v>0</v>
      </c>
      <c r="N56" s="534"/>
      <c r="O56" s="165"/>
      <c r="P56" s="165"/>
    </row>
    <row r="57" spans="1:16" s="166" customFormat="1" ht="13.5" thickBot="1" x14ac:dyDescent="0.25">
      <c r="A57" s="185" t="s">
        <v>223</v>
      </c>
      <c r="E57" s="165"/>
      <c r="F57" s="165"/>
      <c r="I57" s="235"/>
      <c r="J57" s="165" t="s">
        <v>204</v>
      </c>
      <c r="K57" s="165"/>
      <c r="L57" s="219" t="s">
        <v>196</v>
      </c>
      <c r="M57" s="533">
        <f>I57</f>
        <v>0</v>
      </c>
      <c r="N57" s="534"/>
      <c r="O57" s="165"/>
      <c r="P57" s="165"/>
    </row>
    <row r="58" spans="1:16" s="166" customFormat="1" ht="13.5" thickBot="1" x14ac:dyDescent="0.25">
      <c r="A58" s="185" t="s">
        <v>224</v>
      </c>
      <c r="B58" s="242"/>
      <c r="C58" s="242"/>
      <c r="E58" s="165"/>
      <c r="F58" s="165"/>
      <c r="I58" s="235"/>
      <c r="J58" s="165" t="s">
        <v>204</v>
      </c>
      <c r="K58" s="165"/>
      <c r="L58" s="219" t="s">
        <v>196</v>
      </c>
      <c r="M58" s="533">
        <f>I58</f>
        <v>0</v>
      </c>
      <c r="N58" s="534"/>
      <c r="O58" s="165"/>
      <c r="P58" s="165"/>
    </row>
    <row r="59" spans="1:16" s="166" customFormat="1" ht="13.5" thickBot="1" x14ac:dyDescent="0.25">
      <c r="A59" s="243"/>
      <c r="E59" s="165"/>
      <c r="F59" s="165"/>
      <c r="G59" s="244"/>
      <c r="H59" s="165"/>
      <c r="I59" s="218"/>
      <c r="J59" s="218"/>
      <c r="K59" s="218"/>
      <c r="L59" s="219"/>
      <c r="M59" s="219"/>
      <c r="N59" s="245"/>
      <c r="O59" s="165"/>
      <c r="P59" s="165"/>
    </row>
    <row r="60" spans="1:16" s="166" customFormat="1" ht="12.75" customHeight="1" thickBot="1" x14ac:dyDescent="0.25">
      <c r="A60" s="246"/>
      <c r="B60" s="247"/>
      <c r="C60" s="247"/>
      <c r="D60" s="248"/>
      <c r="E60" s="248"/>
      <c r="F60" s="248"/>
      <c r="G60" s="248"/>
      <c r="H60" s="538" t="s">
        <v>225</v>
      </c>
      <c r="I60" s="539"/>
      <c r="J60" s="539"/>
      <c r="K60" s="539"/>
      <c r="L60" s="540"/>
      <c r="M60" s="541">
        <f>M38+M42+M49+M53+M55+M56+M57+M58</f>
        <v>26968</v>
      </c>
      <c r="N60" s="542"/>
      <c r="O60" s="165"/>
      <c r="P60" s="165"/>
    </row>
    <row r="61" spans="1:16" ht="12.75" customHeight="1" thickTop="1" x14ac:dyDescent="0.2">
      <c r="A61" s="549" t="s">
        <v>226</v>
      </c>
      <c r="B61" s="550"/>
      <c r="C61" s="550"/>
      <c r="D61" s="550"/>
      <c r="E61" s="551"/>
      <c r="F61" s="555" t="str">
        <f>B27</f>
        <v>GS-14 ATR</v>
      </c>
      <c r="G61" s="555" t="str">
        <f>B28</f>
        <v>GS-13 LEAD</v>
      </c>
      <c r="H61" s="555" t="str">
        <f>B29</f>
        <v>GS-13 LEAD</v>
      </c>
      <c r="I61" s="555" t="str">
        <f>B30</f>
        <v xml:space="preserve">GS-12 </v>
      </c>
      <c r="J61" s="555" t="str">
        <f>B31</f>
        <v xml:space="preserve">GS-11 </v>
      </c>
      <c r="K61" s="555" t="str">
        <f>B32</f>
        <v xml:space="preserve">GS-11 </v>
      </c>
      <c r="L61" s="555" t="str">
        <f>B33</f>
        <v>GS-09 CADD</v>
      </c>
      <c r="M61" s="555" t="str">
        <f>B34</f>
        <v>GS-07</v>
      </c>
      <c r="N61" s="543" t="str">
        <f>B35</f>
        <v>GS-05 GEN</v>
      </c>
    </row>
    <row r="62" spans="1:16" ht="12.75" customHeight="1" thickBot="1" x14ac:dyDescent="0.25">
      <c r="A62" s="552"/>
      <c r="B62" s="553"/>
      <c r="C62" s="553"/>
      <c r="D62" s="553"/>
      <c r="E62" s="554"/>
      <c r="F62" s="556"/>
      <c r="G62" s="556"/>
      <c r="H62" s="556"/>
      <c r="I62" s="556"/>
      <c r="J62" s="556"/>
      <c r="K62" s="556"/>
      <c r="L62" s="556"/>
      <c r="M62" s="556"/>
      <c r="N62" s="544"/>
    </row>
    <row r="63" spans="1:16" ht="13.5" thickBot="1" x14ac:dyDescent="0.25">
      <c r="A63" s="249"/>
      <c r="B63" s="250"/>
      <c r="C63" s="545" t="s">
        <v>227</v>
      </c>
      <c r="D63" s="545"/>
      <c r="E63" s="546"/>
      <c r="F63" s="251">
        <f t="shared" ref="F63:N63" si="1">SUM(F64:F110)</f>
        <v>0</v>
      </c>
      <c r="G63" s="251">
        <f t="shared" si="1"/>
        <v>114</v>
      </c>
      <c r="H63" s="251">
        <f t="shared" si="1"/>
        <v>50</v>
      </c>
      <c r="I63" s="251">
        <f t="shared" si="1"/>
        <v>0</v>
      </c>
      <c r="J63" s="251">
        <f t="shared" si="1"/>
        <v>0</v>
      </c>
      <c r="K63" s="251">
        <f t="shared" si="1"/>
        <v>0</v>
      </c>
      <c r="L63" s="251">
        <f t="shared" si="1"/>
        <v>0</v>
      </c>
      <c r="M63" s="251">
        <f t="shared" si="1"/>
        <v>0</v>
      </c>
      <c r="N63" s="252">
        <f t="shared" si="1"/>
        <v>0</v>
      </c>
    </row>
    <row r="64" spans="1:16" x14ac:dyDescent="0.2">
      <c r="A64" s="547" t="s">
        <v>228</v>
      </c>
      <c r="B64" s="548"/>
      <c r="C64" s="548"/>
      <c r="D64" s="548"/>
      <c r="E64" s="548"/>
      <c r="F64" s="253"/>
      <c r="G64" s="254">
        <f>8*5</f>
        <v>40</v>
      </c>
      <c r="H64" s="254">
        <f>8*3</f>
        <v>24</v>
      </c>
      <c r="I64" s="254"/>
      <c r="J64" s="254"/>
      <c r="K64" s="254"/>
      <c r="L64" s="254"/>
      <c r="M64" s="254"/>
      <c r="N64" s="255"/>
    </row>
    <row r="65" spans="1:14" x14ac:dyDescent="0.2">
      <c r="A65" s="557" t="s">
        <v>229</v>
      </c>
      <c r="B65" s="558"/>
      <c r="C65" s="558"/>
      <c r="D65" s="558"/>
      <c r="E65" s="558"/>
      <c r="F65" s="256"/>
      <c r="G65" s="223">
        <v>40</v>
      </c>
      <c r="H65" s="223">
        <v>16</v>
      </c>
      <c r="I65" s="223"/>
      <c r="J65" s="223"/>
      <c r="K65" s="223"/>
      <c r="L65" s="223"/>
      <c r="M65" s="223"/>
      <c r="N65" s="257"/>
    </row>
    <row r="66" spans="1:14" x14ac:dyDescent="0.2">
      <c r="A66" s="559" t="s">
        <v>230</v>
      </c>
      <c r="B66" s="560"/>
      <c r="C66" s="560"/>
      <c r="D66" s="560"/>
      <c r="E66" s="561"/>
      <c r="F66" s="256"/>
      <c r="G66" s="223">
        <f>8*3</f>
        <v>24</v>
      </c>
      <c r="H66" s="223">
        <v>8</v>
      </c>
      <c r="I66" s="223"/>
      <c r="J66" s="223"/>
      <c r="K66" s="223"/>
      <c r="L66" s="223"/>
      <c r="M66" s="223"/>
      <c r="N66" s="257"/>
    </row>
    <row r="67" spans="1:14" x14ac:dyDescent="0.2">
      <c r="A67" s="559" t="s">
        <v>231</v>
      </c>
      <c r="B67" s="560"/>
      <c r="C67" s="560"/>
      <c r="D67" s="560"/>
      <c r="E67" s="560"/>
      <c r="F67" s="256"/>
      <c r="G67" s="223">
        <v>10</v>
      </c>
      <c r="H67" s="223">
        <v>2</v>
      </c>
      <c r="I67" s="223"/>
      <c r="J67" s="223"/>
      <c r="K67" s="223"/>
      <c r="L67" s="223"/>
      <c r="M67" s="223"/>
      <c r="N67" s="257"/>
    </row>
    <row r="68" spans="1:14" x14ac:dyDescent="0.2">
      <c r="A68" s="559"/>
      <c r="B68" s="560"/>
      <c r="C68" s="560"/>
      <c r="D68" s="560"/>
      <c r="E68" s="560"/>
      <c r="F68" s="256"/>
      <c r="G68" s="223"/>
      <c r="H68" s="223"/>
      <c r="I68" s="223"/>
      <c r="J68" s="223"/>
      <c r="K68" s="223"/>
      <c r="L68" s="223"/>
      <c r="M68" s="223"/>
      <c r="N68" s="257"/>
    </row>
    <row r="69" spans="1:14" x14ac:dyDescent="0.2">
      <c r="A69" s="559"/>
      <c r="B69" s="560"/>
      <c r="C69" s="560"/>
      <c r="D69" s="560"/>
      <c r="E69" s="560"/>
      <c r="F69" s="256"/>
      <c r="G69" s="223"/>
      <c r="H69" s="223"/>
      <c r="I69" s="223"/>
      <c r="J69" s="223"/>
      <c r="K69" s="223"/>
      <c r="L69" s="223"/>
      <c r="M69" s="223"/>
      <c r="N69" s="257"/>
    </row>
    <row r="70" spans="1:14" x14ac:dyDescent="0.2">
      <c r="A70" s="559"/>
      <c r="B70" s="560"/>
      <c r="C70" s="560"/>
      <c r="D70" s="560"/>
      <c r="E70" s="560"/>
      <c r="F70" s="256"/>
      <c r="G70" s="223"/>
      <c r="H70" s="223"/>
      <c r="I70" s="223"/>
      <c r="J70" s="223"/>
      <c r="K70" s="223"/>
      <c r="L70" s="223"/>
      <c r="M70" s="223"/>
      <c r="N70" s="257"/>
    </row>
    <row r="71" spans="1:14" x14ac:dyDescent="0.2">
      <c r="A71" s="559"/>
      <c r="B71" s="560"/>
      <c r="C71" s="560"/>
      <c r="D71" s="560"/>
      <c r="E71" s="560"/>
      <c r="F71" s="256"/>
      <c r="G71" s="223"/>
      <c r="H71" s="223"/>
      <c r="I71" s="223"/>
      <c r="J71" s="223"/>
      <c r="K71" s="223"/>
      <c r="L71" s="223"/>
      <c r="M71" s="223"/>
      <c r="N71" s="257"/>
    </row>
    <row r="72" spans="1:14" x14ac:dyDescent="0.2">
      <c r="A72" s="559"/>
      <c r="B72" s="560"/>
      <c r="C72" s="560"/>
      <c r="D72" s="560"/>
      <c r="E72" s="560"/>
      <c r="F72" s="256"/>
      <c r="G72" s="223"/>
      <c r="H72" s="223"/>
      <c r="I72" s="223"/>
      <c r="J72" s="223"/>
      <c r="K72" s="223"/>
      <c r="L72" s="223"/>
      <c r="M72" s="223"/>
      <c r="N72" s="257"/>
    </row>
    <row r="73" spans="1:14" x14ac:dyDescent="0.2">
      <c r="A73" s="559"/>
      <c r="B73" s="560"/>
      <c r="C73" s="560"/>
      <c r="D73" s="560"/>
      <c r="E73" s="560"/>
      <c r="F73" s="256"/>
      <c r="G73" s="223"/>
      <c r="H73" s="223"/>
      <c r="I73" s="223"/>
      <c r="J73" s="223"/>
      <c r="K73" s="223"/>
      <c r="L73" s="223"/>
      <c r="M73" s="223"/>
      <c r="N73" s="257"/>
    </row>
    <row r="74" spans="1:14" x14ac:dyDescent="0.2">
      <c r="A74" s="559"/>
      <c r="B74" s="560"/>
      <c r="C74" s="560"/>
      <c r="D74" s="560"/>
      <c r="E74" s="560"/>
      <c r="F74" s="256"/>
      <c r="G74" s="223"/>
      <c r="H74" s="223"/>
      <c r="I74" s="223"/>
      <c r="J74" s="223"/>
      <c r="K74" s="223"/>
      <c r="L74" s="223"/>
      <c r="M74" s="223"/>
      <c r="N74" s="257"/>
    </row>
    <row r="75" spans="1:14" x14ac:dyDescent="0.2">
      <c r="A75" s="559"/>
      <c r="B75" s="560"/>
      <c r="C75" s="560"/>
      <c r="D75" s="560"/>
      <c r="E75" s="560"/>
      <c r="F75" s="256"/>
      <c r="G75" s="223"/>
      <c r="H75" s="223"/>
      <c r="I75" s="223"/>
      <c r="J75" s="223"/>
      <c r="K75" s="223"/>
      <c r="L75" s="223"/>
      <c r="M75" s="223"/>
      <c r="N75" s="257"/>
    </row>
    <row r="76" spans="1:14" x14ac:dyDescent="0.2">
      <c r="A76" s="559"/>
      <c r="B76" s="560"/>
      <c r="C76" s="560"/>
      <c r="D76" s="560"/>
      <c r="E76" s="560"/>
      <c r="F76" s="256"/>
      <c r="G76" s="223"/>
      <c r="H76" s="223"/>
      <c r="I76" s="223"/>
      <c r="J76" s="223"/>
      <c r="K76" s="223"/>
      <c r="L76" s="223"/>
      <c r="M76" s="223"/>
      <c r="N76" s="257"/>
    </row>
    <row r="77" spans="1:14" x14ac:dyDescent="0.2">
      <c r="A77" s="562"/>
      <c r="B77" s="563"/>
      <c r="C77" s="563"/>
      <c r="D77" s="563"/>
      <c r="E77" s="563"/>
      <c r="F77" s="256"/>
      <c r="G77" s="223"/>
      <c r="H77" s="223"/>
      <c r="I77" s="223"/>
      <c r="J77" s="223"/>
      <c r="K77" s="223"/>
      <c r="L77" s="223"/>
      <c r="M77" s="223"/>
      <c r="N77" s="257"/>
    </row>
    <row r="78" spans="1:14" x14ac:dyDescent="0.2">
      <c r="A78" s="559"/>
      <c r="B78" s="560"/>
      <c r="C78" s="560"/>
      <c r="D78" s="560"/>
      <c r="E78" s="560"/>
      <c r="F78" s="256"/>
      <c r="G78" s="223"/>
      <c r="H78" s="223"/>
      <c r="I78" s="223"/>
      <c r="J78" s="223"/>
      <c r="K78" s="223"/>
      <c r="L78" s="223"/>
      <c r="M78" s="223"/>
      <c r="N78" s="257"/>
    </row>
    <row r="79" spans="1:14" x14ac:dyDescent="0.2">
      <c r="A79" s="562"/>
      <c r="B79" s="563"/>
      <c r="C79" s="563"/>
      <c r="D79" s="563"/>
      <c r="E79" s="563"/>
      <c r="F79" s="256"/>
      <c r="G79" s="223"/>
      <c r="H79" s="223"/>
      <c r="I79" s="223"/>
      <c r="J79" s="223"/>
      <c r="K79" s="223"/>
      <c r="L79" s="223"/>
      <c r="M79" s="223"/>
      <c r="N79" s="257"/>
    </row>
    <row r="80" spans="1:14" x14ac:dyDescent="0.2">
      <c r="A80" s="562"/>
      <c r="B80" s="563"/>
      <c r="C80" s="563"/>
      <c r="D80" s="563"/>
      <c r="E80" s="563"/>
      <c r="F80" s="256"/>
      <c r="G80" s="223"/>
      <c r="H80" s="223"/>
      <c r="I80" s="223"/>
      <c r="J80" s="223"/>
      <c r="K80" s="223"/>
      <c r="L80" s="223"/>
      <c r="M80" s="223"/>
      <c r="N80" s="257"/>
    </row>
    <row r="81" spans="1:16" x14ac:dyDescent="0.2">
      <c r="A81" s="562"/>
      <c r="B81" s="563"/>
      <c r="C81" s="563"/>
      <c r="D81" s="563"/>
      <c r="E81" s="563"/>
      <c r="F81" s="256"/>
      <c r="G81" s="223"/>
      <c r="H81" s="223"/>
      <c r="I81" s="223"/>
      <c r="J81" s="223"/>
      <c r="K81" s="223"/>
      <c r="L81" s="223"/>
      <c r="M81" s="223"/>
      <c r="N81" s="257"/>
    </row>
    <row r="82" spans="1:16" x14ac:dyDescent="0.2">
      <c r="A82" s="559"/>
      <c r="B82" s="560"/>
      <c r="C82" s="560"/>
      <c r="D82" s="560"/>
      <c r="E82" s="560"/>
      <c r="F82" s="256"/>
      <c r="G82" s="223"/>
      <c r="H82" s="223"/>
      <c r="I82" s="223"/>
      <c r="J82" s="223"/>
      <c r="K82" s="223"/>
      <c r="L82" s="223"/>
      <c r="M82" s="223"/>
      <c r="N82" s="257"/>
    </row>
    <row r="83" spans="1:16" x14ac:dyDescent="0.2">
      <c r="A83" s="559"/>
      <c r="B83" s="560"/>
      <c r="C83" s="560"/>
      <c r="D83" s="560"/>
      <c r="E83" s="560"/>
      <c r="F83" s="256"/>
      <c r="G83" s="223"/>
      <c r="H83" s="223"/>
      <c r="I83" s="223"/>
      <c r="J83" s="223"/>
      <c r="K83" s="223"/>
      <c r="L83" s="223"/>
      <c r="M83" s="223"/>
      <c r="N83" s="257"/>
    </row>
    <row r="84" spans="1:16" x14ac:dyDescent="0.2">
      <c r="A84" s="559"/>
      <c r="B84" s="560"/>
      <c r="C84" s="560"/>
      <c r="D84" s="560"/>
      <c r="E84" s="560"/>
      <c r="F84" s="256"/>
      <c r="G84" s="223"/>
      <c r="H84" s="223"/>
      <c r="I84" s="223"/>
      <c r="J84" s="223"/>
      <c r="K84" s="223"/>
      <c r="L84" s="223"/>
      <c r="M84" s="223"/>
      <c r="N84" s="257"/>
    </row>
    <row r="85" spans="1:16" x14ac:dyDescent="0.2">
      <c r="A85" s="559"/>
      <c r="B85" s="560"/>
      <c r="C85" s="560"/>
      <c r="D85" s="560"/>
      <c r="E85" s="560"/>
      <c r="F85" s="256"/>
      <c r="G85" s="223"/>
      <c r="H85" s="223"/>
      <c r="I85" s="223"/>
      <c r="J85" s="223"/>
      <c r="K85" s="223"/>
      <c r="L85" s="223"/>
      <c r="M85" s="223"/>
      <c r="N85" s="257"/>
    </row>
    <row r="86" spans="1:16" x14ac:dyDescent="0.2">
      <c r="A86" s="559"/>
      <c r="B86" s="560"/>
      <c r="C86" s="560"/>
      <c r="D86" s="560"/>
      <c r="E86" s="560"/>
      <c r="F86" s="256"/>
      <c r="G86" s="223"/>
      <c r="H86" s="223"/>
      <c r="I86" s="223"/>
      <c r="J86" s="223"/>
      <c r="K86" s="223"/>
      <c r="L86" s="223"/>
      <c r="M86" s="223"/>
      <c r="N86" s="257"/>
    </row>
    <row r="87" spans="1:16" x14ac:dyDescent="0.2">
      <c r="A87" s="559"/>
      <c r="B87" s="560"/>
      <c r="C87" s="560"/>
      <c r="D87" s="560"/>
      <c r="E87" s="560"/>
      <c r="F87" s="256"/>
      <c r="G87" s="223"/>
      <c r="H87" s="223"/>
      <c r="I87" s="223"/>
      <c r="J87" s="223"/>
      <c r="K87" s="223"/>
      <c r="L87" s="223"/>
      <c r="M87" s="223"/>
      <c r="N87" s="257"/>
    </row>
    <row r="88" spans="1:16" s="262" customFormat="1" x14ac:dyDescent="0.2">
      <c r="A88" s="564"/>
      <c r="B88" s="565"/>
      <c r="C88" s="565"/>
      <c r="D88" s="565"/>
      <c r="E88" s="565"/>
      <c r="F88" s="258"/>
      <c r="G88" s="259"/>
      <c r="H88" s="259"/>
      <c r="I88" s="259"/>
      <c r="J88" s="259"/>
      <c r="K88" s="259"/>
      <c r="L88" s="259"/>
      <c r="M88" s="259"/>
      <c r="N88" s="260"/>
      <c r="O88" s="261"/>
      <c r="P88" s="261"/>
    </row>
    <row r="89" spans="1:16" x14ac:dyDescent="0.2">
      <c r="A89" s="559"/>
      <c r="B89" s="560"/>
      <c r="C89" s="560"/>
      <c r="D89" s="560"/>
      <c r="E89" s="560"/>
      <c r="F89" s="256"/>
      <c r="G89" s="223"/>
      <c r="H89" s="223"/>
      <c r="I89" s="223"/>
      <c r="J89" s="223"/>
      <c r="K89" s="223"/>
      <c r="L89" s="223"/>
      <c r="M89" s="223"/>
      <c r="N89" s="257"/>
    </row>
    <row r="90" spans="1:16" x14ac:dyDescent="0.2">
      <c r="A90" s="559"/>
      <c r="B90" s="560"/>
      <c r="C90" s="560"/>
      <c r="D90" s="560"/>
      <c r="E90" s="560"/>
      <c r="F90" s="256"/>
      <c r="G90" s="223"/>
      <c r="H90" s="223"/>
      <c r="I90" s="223"/>
      <c r="J90" s="223"/>
      <c r="K90" s="223"/>
      <c r="L90" s="223"/>
      <c r="M90" s="223"/>
      <c r="N90" s="257"/>
    </row>
    <row r="91" spans="1:16" x14ac:dyDescent="0.2">
      <c r="A91" s="559"/>
      <c r="B91" s="560"/>
      <c r="C91" s="560"/>
      <c r="D91" s="560"/>
      <c r="E91" s="560"/>
      <c r="F91" s="256"/>
      <c r="G91" s="223"/>
      <c r="H91" s="223"/>
      <c r="I91" s="223"/>
      <c r="J91" s="223"/>
      <c r="K91" s="223"/>
      <c r="L91" s="223"/>
      <c r="M91" s="223"/>
      <c r="N91" s="257"/>
    </row>
    <row r="92" spans="1:16" x14ac:dyDescent="0.2">
      <c r="A92" s="559"/>
      <c r="B92" s="560"/>
      <c r="C92" s="560"/>
      <c r="D92" s="560"/>
      <c r="E92" s="560"/>
      <c r="F92" s="256"/>
      <c r="G92" s="223"/>
      <c r="H92" s="223"/>
      <c r="I92" s="223"/>
      <c r="J92" s="223"/>
      <c r="K92" s="223"/>
      <c r="L92" s="223"/>
      <c r="M92" s="223"/>
      <c r="N92" s="257"/>
    </row>
    <row r="93" spans="1:16" x14ac:dyDescent="0.2">
      <c r="A93" s="559"/>
      <c r="B93" s="560"/>
      <c r="C93" s="560"/>
      <c r="D93" s="560"/>
      <c r="E93" s="560"/>
      <c r="F93" s="256"/>
      <c r="G93" s="223"/>
      <c r="H93" s="223"/>
      <c r="I93" s="223"/>
      <c r="J93" s="223"/>
      <c r="K93" s="223"/>
      <c r="L93" s="223"/>
      <c r="M93" s="223"/>
      <c r="N93" s="257"/>
    </row>
    <row r="94" spans="1:16" x14ac:dyDescent="0.2">
      <c r="A94" s="559"/>
      <c r="B94" s="560"/>
      <c r="C94" s="560"/>
      <c r="D94" s="560"/>
      <c r="E94" s="560"/>
      <c r="F94" s="256"/>
      <c r="G94" s="223"/>
      <c r="H94" s="223"/>
      <c r="I94" s="223"/>
      <c r="J94" s="223"/>
      <c r="K94" s="223"/>
      <c r="L94" s="223"/>
      <c r="M94" s="223"/>
      <c r="N94" s="257"/>
    </row>
    <row r="95" spans="1:16" x14ac:dyDescent="0.2">
      <c r="A95" s="559"/>
      <c r="B95" s="560"/>
      <c r="C95" s="560"/>
      <c r="D95" s="560"/>
      <c r="E95" s="560"/>
      <c r="F95" s="256"/>
      <c r="G95" s="223"/>
      <c r="H95" s="223"/>
      <c r="I95" s="223"/>
      <c r="J95" s="223"/>
      <c r="K95" s="223"/>
      <c r="L95" s="223"/>
      <c r="M95" s="223"/>
      <c r="N95" s="257"/>
    </row>
    <row r="96" spans="1:16" x14ac:dyDescent="0.2">
      <c r="A96" s="559"/>
      <c r="B96" s="560"/>
      <c r="C96" s="560"/>
      <c r="D96" s="560"/>
      <c r="E96" s="560"/>
      <c r="F96" s="256"/>
      <c r="G96" s="223"/>
      <c r="H96" s="223"/>
      <c r="I96" s="223"/>
      <c r="J96" s="223"/>
      <c r="K96" s="223"/>
      <c r="L96" s="223"/>
      <c r="M96" s="223"/>
      <c r="N96" s="257"/>
    </row>
    <row r="97" spans="1:14" x14ac:dyDescent="0.2">
      <c r="A97" s="559"/>
      <c r="B97" s="560"/>
      <c r="C97" s="560"/>
      <c r="D97" s="560"/>
      <c r="E97" s="560"/>
      <c r="F97" s="256"/>
      <c r="G97" s="223"/>
      <c r="H97" s="223"/>
      <c r="I97" s="223"/>
      <c r="J97" s="223"/>
      <c r="K97" s="223"/>
      <c r="L97" s="223"/>
      <c r="M97" s="223"/>
      <c r="N97" s="257"/>
    </row>
    <row r="98" spans="1:14" x14ac:dyDescent="0.2">
      <c r="A98" s="559"/>
      <c r="B98" s="560"/>
      <c r="C98" s="560"/>
      <c r="D98" s="560"/>
      <c r="E98" s="560"/>
      <c r="F98" s="256"/>
      <c r="G98" s="223"/>
      <c r="H98" s="223"/>
      <c r="I98" s="223"/>
      <c r="J98" s="223"/>
      <c r="K98" s="223"/>
      <c r="L98" s="223"/>
      <c r="M98" s="223"/>
      <c r="N98" s="257"/>
    </row>
    <row r="99" spans="1:14" x14ac:dyDescent="0.2">
      <c r="A99" s="263"/>
      <c r="B99" s="264"/>
      <c r="C99" s="264"/>
      <c r="D99" s="264"/>
      <c r="E99" s="264"/>
      <c r="F99" s="256"/>
      <c r="G99" s="223"/>
      <c r="H99" s="223"/>
      <c r="I99" s="223"/>
      <c r="J99" s="223"/>
      <c r="K99" s="223"/>
      <c r="L99" s="223"/>
      <c r="M99" s="223"/>
      <c r="N99" s="257"/>
    </row>
    <row r="100" spans="1:14" x14ac:dyDescent="0.2">
      <c r="A100" s="263"/>
      <c r="B100" s="264"/>
      <c r="C100" s="264"/>
      <c r="D100" s="264"/>
      <c r="E100" s="264"/>
      <c r="F100" s="256"/>
      <c r="G100" s="223"/>
      <c r="H100" s="223"/>
      <c r="I100" s="223"/>
      <c r="J100" s="223"/>
      <c r="K100" s="223"/>
      <c r="L100" s="223"/>
      <c r="M100" s="223"/>
      <c r="N100" s="257"/>
    </row>
    <row r="101" spans="1:14" x14ac:dyDescent="0.2">
      <c r="A101" s="263"/>
      <c r="B101" s="264"/>
      <c r="C101" s="264"/>
      <c r="D101" s="264"/>
      <c r="E101" s="264"/>
      <c r="F101" s="256"/>
      <c r="G101" s="223"/>
      <c r="H101" s="223"/>
      <c r="I101" s="223"/>
      <c r="J101" s="223"/>
      <c r="K101" s="223"/>
      <c r="L101" s="223"/>
      <c r="M101" s="223"/>
      <c r="N101" s="257"/>
    </row>
    <row r="102" spans="1:14" x14ac:dyDescent="0.2">
      <c r="A102" s="263"/>
      <c r="B102" s="264"/>
      <c r="C102" s="264"/>
      <c r="D102" s="264"/>
      <c r="E102" s="264"/>
      <c r="F102" s="256"/>
      <c r="G102" s="223"/>
      <c r="H102" s="223"/>
      <c r="I102" s="223"/>
      <c r="J102" s="223"/>
      <c r="K102" s="223"/>
      <c r="L102" s="223"/>
      <c r="M102" s="223"/>
      <c r="N102" s="257"/>
    </row>
    <row r="103" spans="1:14" x14ac:dyDescent="0.2">
      <c r="A103" s="559"/>
      <c r="B103" s="560"/>
      <c r="C103" s="560"/>
      <c r="D103" s="560"/>
      <c r="E103" s="560"/>
      <c r="F103" s="256"/>
      <c r="G103" s="223"/>
      <c r="H103" s="223"/>
      <c r="I103" s="223"/>
      <c r="J103" s="223"/>
      <c r="K103" s="223"/>
      <c r="L103" s="223"/>
      <c r="M103" s="223"/>
      <c r="N103" s="257"/>
    </row>
    <row r="104" spans="1:14" x14ac:dyDescent="0.2">
      <c r="A104" s="559"/>
      <c r="B104" s="560"/>
      <c r="C104" s="560"/>
      <c r="D104" s="560"/>
      <c r="E104" s="560"/>
      <c r="F104" s="256"/>
      <c r="G104" s="223"/>
      <c r="H104" s="223"/>
      <c r="I104" s="223"/>
      <c r="J104" s="223"/>
      <c r="K104" s="223"/>
      <c r="L104" s="223"/>
      <c r="M104" s="223"/>
      <c r="N104" s="257"/>
    </row>
    <row r="105" spans="1:14" x14ac:dyDescent="0.2">
      <c r="A105" s="559"/>
      <c r="B105" s="560"/>
      <c r="C105" s="560"/>
      <c r="D105" s="560"/>
      <c r="E105" s="560"/>
      <c r="F105" s="256"/>
      <c r="G105" s="223"/>
      <c r="H105" s="223"/>
      <c r="I105" s="223"/>
      <c r="J105" s="223"/>
      <c r="K105" s="223"/>
      <c r="L105" s="223"/>
      <c r="M105" s="223"/>
      <c r="N105" s="257"/>
    </row>
    <row r="106" spans="1:14" x14ac:dyDescent="0.2">
      <c r="A106" s="559"/>
      <c r="B106" s="560"/>
      <c r="C106" s="560"/>
      <c r="D106" s="560"/>
      <c r="E106" s="560"/>
      <c r="F106" s="256"/>
      <c r="G106" s="223"/>
      <c r="H106" s="223"/>
      <c r="I106" s="223"/>
      <c r="J106" s="223"/>
      <c r="K106" s="223"/>
      <c r="L106" s="223"/>
      <c r="M106" s="223"/>
      <c r="N106" s="257"/>
    </row>
    <row r="107" spans="1:14" x14ac:dyDescent="0.2">
      <c r="A107" s="559"/>
      <c r="B107" s="560"/>
      <c r="C107" s="560"/>
      <c r="D107" s="560"/>
      <c r="E107" s="560"/>
      <c r="F107" s="256"/>
      <c r="G107" s="223"/>
      <c r="H107" s="223"/>
      <c r="I107" s="223"/>
      <c r="J107" s="223"/>
      <c r="K107" s="223"/>
      <c r="L107" s="223"/>
      <c r="M107" s="223"/>
      <c r="N107" s="257"/>
    </row>
    <row r="108" spans="1:14" x14ac:dyDescent="0.2">
      <c r="A108" s="559"/>
      <c r="B108" s="560"/>
      <c r="C108" s="560"/>
      <c r="D108" s="560"/>
      <c r="E108" s="560"/>
      <c r="F108" s="256"/>
      <c r="G108" s="223"/>
      <c r="H108" s="223"/>
      <c r="I108" s="223"/>
      <c r="J108" s="223"/>
      <c r="K108" s="223"/>
      <c r="L108" s="223"/>
      <c r="M108" s="223"/>
      <c r="N108" s="257"/>
    </row>
    <row r="109" spans="1:14" x14ac:dyDescent="0.2">
      <c r="A109" s="559"/>
      <c r="B109" s="560"/>
      <c r="C109" s="560"/>
      <c r="D109" s="560"/>
      <c r="E109" s="560"/>
      <c r="F109" s="265"/>
      <c r="G109" s="266"/>
      <c r="H109" s="266"/>
      <c r="I109" s="266"/>
      <c r="J109" s="266"/>
      <c r="K109" s="266"/>
      <c r="L109" s="266"/>
      <c r="M109" s="266"/>
      <c r="N109" s="267"/>
    </row>
    <row r="110" spans="1:14" ht="13.5" thickBot="1" x14ac:dyDescent="0.25">
      <c r="A110" s="268"/>
      <c r="B110" s="269"/>
      <c r="C110" s="269"/>
      <c r="D110" s="269"/>
      <c r="E110" s="269"/>
      <c r="F110" s="269"/>
      <c r="G110" s="269"/>
      <c r="H110" s="269"/>
      <c r="I110" s="270"/>
      <c r="J110" s="270"/>
      <c r="K110" s="270"/>
      <c r="L110" s="270"/>
      <c r="M110" s="270"/>
      <c r="N110" s="271"/>
    </row>
    <row r="111" spans="1:14" ht="13.5" thickTop="1" x14ac:dyDescent="0.2"/>
  </sheetData>
  <mergeCells count="116">
    <mergeCell ref="A105:E105"/>
    <mergeCell ref="A106:E106"/>
    <mergeCell ref="A107:E107"/>
    <mergeCell ref="A108:E108"/>
    <mergeCell ref="A109:E109"/>
    <mergeCell ref="A95:E95"/>
    <mergeCell ref="A96:E96"/>
    <mergeCell ref="A97:E97"/>
    <mergeCell ref="A98:E98"/>
    <mergeCell ref="A103:E103"/>
    <mergeCell ref="A104:E104"/>
    <mergeCell ref="A89:E89"/>
    <mergeCell ref="A90:E90"/>
    <mergeCell ref="A91:E91"/>
    <mergeCell ref="A92:E92"/>
    <mergeCell ref="A93:E93"/>
    <mergeCell ref="A94:E94"/>
    <mergeCell ref="A83:E83"/>
    <mergeCell ref="A84:E84"/>
    <mergeCell ref="A85:E85"/>
    <mergeCell ref="A86:E86"/>
    <mergeCell ref="A87:E87"/>
    <mergeCell ref="A88:E88"/>
    <mergeCell ref="A77:E77"/>
    <mergeCell ref="A78:E78"/>
    <mergeCell ref="A79:E79"/>
    <mergeCell ref="A80:E80"/>
    <mergeCell ref="A81:E81"/>
    <mergeCell ref="A82:E82"/>
    <mergeCell ref="A71:E71"/>
    <mergeCell ref="A72:E72"/>
    <mergeCell ref="A73:E73"/>
    <mergeCell ref="A74:E74"/>
    <mergeCell ref="A75:E75"/>
    <mergeCell ref="A76:E76"/>
    <mergeCell ref="A65:E65"/>
    <mergeCell ref="A66:E66"/>
    <mergeCell ref="A67:E67"/>
    <mergeCell ref="A68:E68"/>
    <mergeCell ref="A69:E69"/>
    <mergeCell ref="A70:E70"/>
    <mergeCell ref="K61:K62"/>
    <mergeCell ref="L61:L62"/>
    <mergeCell ref="M61:M62"/>
    <mergeCell ref="N61:N62"/>
    <mergeCell ref="C63:E63"/>
    <mergeCell ref="A64:E64"/>
    <mergeCell ref="A61:E62"/>
    <mergeCell ref="F61:F62"/>
    <mergeCell ref="G61:G62"/>
    <mergeCell ref="H61:H62"/>
    <mergeCell ref="I61:I62"/>
    <mergeCell ref="J61:J62"/>
    <mergeCell ref="F56:G56"/>
    <mergeCell ref="M56:N56"/>
    <mergeCell ref="M57:N57"/>
    <mergeCell ref="M58:N58"/>
    <mergeCell ref="H60:L60"/>
    <mergeCell ref="M60:N60"/>
    <mergeCell ref="D48:E48"/>
    <mergeCell ref="M49:N49"/>
    <mergeCell ref="D51:E51"/>
    <mergeCell ref="D52:E52"/>
    <mergeCell ref="M53:N53"/>
    <mergeCell ref="M55:N55"/>
    <mergeCell ref="D41:E41"/>
    <mergeCell ref="M42:N42"/>
    <mergeCell ref="D44:E44"/>
    <mergeCell ref="D45:E45"/>
    <mergeCell ref="D46:E46"/>
    <mergeCell ref="D47:E47"/>
    <mergeCell ref="B34:C34"/>
    <mergeCell ref="D34:F34"/>
    <mergeCell ref="B35:C35"/>
    <mergeCell ref="D35:F35"/>
    <mergeCell ref="M38:N38"/>
    <mergeCell ref="D40:E40"/>
    <mergeCell ref="B31:C31"/>
    <mergeCell ref="D31:F31"/>
    <mergeCell ref="B32:C32"/>
    <mergeCell ref="D32:F32"/>
    <mergeCell ref="B33:C33"/>
    <mergeCell ref="D33:F33"/>
    <mergeCell ref="B28:C28"/>
    <mergeCell ref="D28:F28"/>
    <mergeCell ref="B29:C29"/>
    <mergeCell ref="D29:F29"/>
    <mergeCell ref="B30:C30"/>
    <mergeCell ref="D30:F30"/>
    <mergeCell ref="B25:C26"/>
    <mergeCell ref="D25:F26"/>
    <mergeCell ref="G25:G26"/>
    <mergeCell ref="I25:I26"/>
    <mergeCell ref="L25:L26"/>
    <mergeCell ref="B27:C27"/>
    <mergeCell ref="D27:F27"/>
    <mergeCell ref="A9:C9"/>
    <mergeCell ref="F9:I9"/>
    <mergeCell ref="A11:N11"/>
    <mergeCell ref="B20:C20"/>
    <mergeCell ref="K20:L20"/>
    <mergeCell ref="B22:E22"/>
    <mergeCell ref="A7:C7"/>
    <mergeCell ref="D7:E7"/>
    <mergeCell ref="F7:G7"/>
    <mergeCell ref="H7:J7"/>
    <mergeCell ref="K7:L7"/>
    <mergeCell ref="M7:N7"/>
    <mergeCell ref="K1:N1"/>
    <mergeCell ref="A3:G3"/>
    <mergeCell ref="H3:J3"/>
    <mergeCell ref="K3:L3"/>
    <mergeCell ref="M3:N3"/>
    <mergeCell ref="A5:G5"/>
    <mergeCell ref="H5:J5"/>
    <mergeCell ref="K5:N5"/>
  </mergeCells>
  <printOptions gridLinesSet="0"/>
  <pageMargins left="0.75" right="0.25" top="0.25" bottom="0.5" header="0.25" footer="0.25"/>
  <pageSetup scale="71" pageOrder="overThenDown" orientation="portrait" blackAndWhite="1" useFirstPageNumber="1" horizontalDpi="1200" verticalDpi="1200" r:id="rId1"/>
  <headerFooter alignWithMargins="0">
    <oddFooter>&amp;L&amp;6PRINTED: &amp;D &amp;T
FILE: &amp;Z&amp;F&amp;R&amp;8Page &amp;P of &amp;N
&amp;6NWW Form 564 Ver 3.1</oddFooter>
  </headerFooter>
  <rowBreaks count="1" manualBreakCount="1">
    <brk id="7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Button8_Click">
                <anchor moveWithCells="1" sizeWithCells="1">
                  <from>
                    <xdr:col>0</xdr:col>
                    <xdr:colOff>0</xdr:colOff>
                    <xdr:row>1</xdr:row>
                    <xdr:rowOff>66675</xdr:rowOff>
                  </from>
                  <to>
                    <xdr:col>0</xdr:col>
                    <xdr:colOff>0</xdr:colOff>
                    <xdr:row>2</xdr:row>
                    <xdr:rowOff>238125</xdr:rowOff>
                  </to>
                </anchor>
              </controlPr>
            </control>
          </mc:Choice>
        </mc:AlternateContent>
        <mc:AlternateContent xmlns:mc="http://schemas.openxmlformats.org/markup-compatibility/2006">
          <mc:Choice Requires="x14">
            <control shapeId="2050" r:id="rId5" name="Button 2">
              <controlPr defaultSize="0" print="0" autoFill="0" autoPict="0" macro="[0]!Button8_Click">
                <anchor moveWithCells="1" sizeWithCells="1">
                  <from>
                    <xdr:col>14</xdr:col>
                    <xdr:colOff>0</xdr:colOff>
                    <xdr:row>2</xdr:row>
                    <xdr:rowOff>142875</xdr:rowOff>
                  </from>
                  <to>
                    <xdr:col>14</xdr:col>
                    <xdr:colOff>0</xdr:colOff>
                    <xdr:row>4</xdr:row>
                    <xdr:rowOff>38100</xdr:rowOff>
                  </to>
                </anchor>
              </controlPr>
            </control>
          </mc:Choice>
        </mc:AlternateContent>
        <mc:AlternateContent xmlns:mc="http://schemas.openxmlformats.org/markup-compatibility/2006">
          <mc:Choice Requires="x14">
            <control shapeId="2051" r:id="rId6" name="Button 3">
              <controlPr defaultSize="0" print="0" autoFill="0" autoPict="0" macro="[0]!Button6_Click">
                <anchor moveWithCells="1" sizeWithCells="1">
                  <from>
                    <xdr:col>0</xdr:col>
                    <xdr:colOff>0</xdr:colOff>
                    <xdr:row>1</xdr:row>
                    <xdr:rowOff>66675</xdr:rowOff>
                  </from>
                  <to>
                    <xdr:col>0</xdr:col>
                    <xdr:colOff>0</xdr:colOff>
                    <xdr:row>2</xdr:row>
                    <xdr:rowOff>238125</xdr:rowOff>
                  </to>
                </anchor>
              </controlPr>
            </control>
          </mc:Choice>
        </mc:AlternateContent>
        <mc:AlternateContent xmlns:mc="http://schemas.openxmlformats.org/markup-compatibility/2006">
          <mc:Choice Requires="x14">
            <control shapeId="2052" r:id="rId7" name="Button 4">
              <controlPr defaultSize="0" print="0" autoFill="0" autoPict="0" macro="[0]!Button6_Click">
                <anchor moveWithCells="1" sizeWithCells="1">
                  <from>
                    <xdr:col>14</xdr:col>
                    <xdr:colOff>0</xdr:colOff>
                    <xdr:row>1</xdr:row>
                    <xdr:rowOff>352425</xdr:rowOff>
                  </from>
                  <to>
                    <xdr:col>14</xdr:col>
                    <xdr:colOff>0</xdr:colOff>
                    <xdr:row>2</xdr:row>
                    <xdr:rowOff>76200</xdr:rowOff>
                  </to>
                </anchor>
              </controlPr>
            </control>
          </mc:Choice>
        </mc:AlternateContent>
        <mc:AlternateContent xmlns:mc="http://schemas.openxmlformats.org/markup-compatibility/2006">
          <mc:Choice Requires="x14">
            <control shapeId="2053" r:id="rId8" name="Button 5">
              <controlPr defaultSize="0" print="0" autoFill="0" autoPict="0" macro="[0]!Button8_Click">
                <anchor moveWithCells="1" sizeWithCells="1">
                  <from>
                    <xdr:col>14</xdr:col>
                    <xdr:colOff>0</xdr:colOff>
                    <xdr:row>1</xdr:row>
                    <xdr:rowOff>47625</xdr:rowOff>
                  </from>
                  <to>
                    <xdr:col>14</xdr:col>
                    <xdr:colOff>0</xdr:colOff>
                    <xdr:row>2</xdr:row>
                    <xdr:rowOff>257175</xdr:rowOff>
                  </to>
                </anchor>
              </controlPr>
            </control>
          </mc:Choice>
        </mc:AlternateContent>
        <mc:AlternateContent xmlns:mc="http://schemas.openxmlformats.org/markup-compatibility/2006">
          <mc:Choice Requires="x14">
            <control shapeId="2054" r:id="rId9" name="Button 6">
              <controlPr defaultSize="0" print="0" autoFill="0" autoPict="0" macro="[0]!Button6_Click">
                <anchor moveWithCells="1" sizeWithCells="1">
                  <from>
                    <xdr:col>14</xdr:col>
                    <xdr:colOff>0</xdr:colOff>
                    <xdr:row>0</xdr:row>
                    <xdr:rowOff>114300</xdr:rowOff>
                  </from>
                  <to>
                    <xdr:col>14</xdr:col>
                    <xdr:colOff>0</xdr:colOff>
                    <xdr:row>1</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5C685-0D2C-40FB-9995-0AAD6BD3892D}">
  <dimension ref="A1:X74"/>
  <sheetViews>
    <sheetView topLeftCell="A35" workbookViewId="0">
      <selection activeCell="A10" sqref="A10"/>
    </sheetView>
  </sheetViews>
  <sheetFormatPr defaultColWidth="8.7109375" defaultRowHeight="15" x14ac:dyDescent="0.25"/>
  <cols>
    <col min="1" max="1" width="69.42578125" customWidth="1"/>
    <col min="2" max="2" width="13.7109375" bestFit="1" customWidth="1"/>
    <col min="3" max="3" width="12.5703125" bestFit="1" customWidth="1"/>
    <col min="4" max="4" width="19.5703125" bestFit="1" customWidth="1"/>
    <col min="5" max="5" width="21.140625" bestFit="1" customWidth="1"/>
    <col min="6" max="6" width="11.5703125" bestFit="1" customWidth="1"/>
    <col min="7" max="7" width="13.85546875" customWidth="1"/>
    <col min="9" max="9" width="10.85546875" bestFit="1" customWidth="1"/>
    <col min="11" max="12" width="12" bestFit="1" customWidth="1"/>
    <col min="13" max="13" width="11.5703125" bestFit="1" customWidth="1"/>
    <col min="14" max="14" width="26.42578125" customWidth="1"/>
    <col min="15" max="15" width="10.7109375" bestFit="1" customWidth="1"/>
    <col min="17" max="18" width="10.140625" bestFit="1" customWidth="1"/>
    <col min="21" max="21" width="6.7109375" bestFit="1" customWidth="1"/>
  </cols>
  <sheetData>
    <row r="1" spans="1:18" ht="15.75" x14ac:dyDescent="0.25">
      <c r="A1" s="273" t="s">
        <v>232</v>
      </c>
      <c r="B1" s="274">
        <v>45534</v>
      </c>
      <c r="C1" s="275"/>
      <c r="D1" s="276" t="s">
        <v>233</v>
      </c>
      <c r="E1" s="276" t="s">
        <v>234</v>
      </c>
      <c r="F1" s="277"/>
      <c r="G1" s="278"/>
      <c r="H1" s="278"/>
      <c r="I1" s="278"/>
      <c r="J1" s="278"/>
      <c r="K1" s="278"/>
      <c r="L1" s="278"/>
      <c r="M1" s="278"/>
      <c r="N1" s="278"/>
      <c r="O1" s="278"/>
      <c r="P1" s="278"/>
      <c r="Q1" s="278"/>
      <c r="R1" s="278"/>
    </row>
    <row r="2" spans="1:18" ht="15.75" x14ac:dyDescent="0.25">
      <c r="A2" s="279" t="s">
        <v>235</v>
      </c>
      <c r="B2" s="280"/>
      <c r="C2" s="281"/>
      <c r="D2" s="282" t="s">
        <v>236</v>
      </c>
      <c r="E2" s="283">
        <v>113</v>
      </c>
      <c r="F2" s="278"/>
      <c r="G2" s="278"/>
      <c r="H2" s="278"/>
      <c r="I2" s="278"/>
      <c r="J2" s="278"/>
      <c r="K2" s="278"/>
      <c r="L2" s="278"/>
      <c r="M2" s="278"/>
      <c r="N2" s="278"/>
      <c r="O2" s="278"/>
      <c r="P2" s="278"/>
      <c r="Q2" s="278"/>
      <c r="R2" s="278"/>
    </row>
    <row r="3" spans="1:18" ht="15.75" x14ac:dyDescent="0.25">
      <c r="A3" s="279" t="s">
        <v>237</v>
      </c>
      <c r="B3" s="280"/>
      <c r="C3" s="282"/>
      <c r="D3" s="282" t="s">
        <v>238</v>
      </c>
      <c r="E3" s="283">
        <v>130</v>
      </c>
      <c r="F3" s="278"/>
      <c r="G3" s="278"/>
      <c r="H3" s="278"/>
      <c r="I3" s="278"/>
      <c r="J3" s="278"/>
      <c r="K3" s="278"/>
      <c r="L3" s="278"/>
      <c r="M3" s="278"/>
      <c r="N3" s="278"/>
      <c r="O3" s="278"/>
      <c r="P3" s="278"/>
      <c r="Q3" s="278"/>
      <c r="R3" s="278"/>
    </row>
    <row r="4" spans="1:18" ht="15.75" x14ac:dyDescent="0.25">
      <c r="A4" s="279"/>
      <c r="B4" s="280"/>
      <c r="C4" s="281"/>
      <c r="D4" s="284" t="s">
        <v>239</v>
      </c>
      <c r="E4" s="283">
        <v>168</v>
      </c>
      <c r="F4" s="278"/>
      <c r="G4" s="278"/>
      <c r="H4" s="278"/>
      <c r="I4" s="278"/>
      <c r="J4" s="278"/>
      <c r="K4" s="278"/>
      <c r="L4" s="278"/>
      <c r="M4" s="278"/>
      <c r="N4" s="278"/>
      <c r="O4" s="278"/>
      <c r="P4" s="278"/>
      <c r="Q4" s="278"/>
      <c r="R4" s="278"/>
    </row>
    <row r="5" spans="1:18" ht="15.75" x14ac:dyDescent="0.25">
      <c r="A5" s="279"/>
      <c r="B5" s="280"/>
      <c r="C5" s="281"/>
      <c r="D5" s="284"/>
      <c r="E5" s="283"/>
      <c r="F5" s="278"/>
      <c r="G5" s="278"/>
      <c r="H5" s="278"/>
      <c r="I5" s="278"/>
      <c r="J5" s="278"/>
      <c r="K5" s="278"/>
      <c r="L5" s="278"/>
      <c r="M5" s="278"/>
      <c r="N5" s="278"/>
      <c r="O5" s="278"/>
      <c r="P5" s="278"/>
      <c r="Q5" s="278"/>
      <c r="R5" s="278"/>
    </row>
    <row r="6" spans="1:18" ht="15.75" x14ac:dyDescent="0.25">
      <c r="A6" s="285" t="s">
        <v>240</v>
      </c>
      <c r="B6" s="280"/>
      <c r="C6" s="281"/>
      <c r="F6" s="278"/>
      <c r="G6" s="278"/>
      <c r="H6" s="278"/>
      <c r="I6" s="278"/>
      <c r="J6" s="278"/>
      <c r="K6" s="278"/>
      <c r="L6" s="278"/>
      <c r="M6" s="278"/>
      <c r="N6" s="278"/>
      <c r="O6" s="278"/>
      <c r="P6" s="278"/>
      <c r="Q6" s="278"/>
      <c r="R6" s="278"/>
    </row>
    <row r="7" spans="1:18" ht="15.75" x14ac:dyDescent="0.25">
      <c r="A7" s="286" t="s">
        <v>241</v>
      </c>
      <c r="B7" s="280"/>
      <c r="C7" s="281"/>
      <c r="F7" s="278"/>
      <c r="G7" s="278"/>
      <c r="H7" s="278"/>
      <c r="I7" s="278"/>
      <c r="J7" s="278"/>
      <c r="K7" s="278"/>
      <c r="L7" s="278"/>
      <c r="M7" s="278"/>
      <c r="N7" s="278"/>
      <c r="O7" s="278"/>
      <c r="P7" s="278"/>
      <c r="Q7" s="278"/>
      <c r="R7" s="278"/>
    </row>
    <row r="8" spans="1:18" ht="15.75" x14ac:dyDescent="0.25">
      <c r="A8" s="286" t="s">
        <v>242</v>
      </c>
      <c r="B8" s="280"/>
      <c r="C8" s="281"/>
      <c r="F8" s="278"/>
      <c r="G8" s="278"/>
      <c r="H8" s="278"/>
      <c r="I8" s="278"/>
      <c r="J8" s="278"/>
      <c r="K8" s="278"/>
      <c r="L8" s="278"/>
      <c r="M8" s="278"/>
      <c r="N8" s="278"/>
      <c r="O8" s="278"/>
      <c r="P8" s="278"/>
      <c r="Q8" s="278"/>
      <c r="R8" s="278"/>
    </row>
    <row r="9" spans="1:18" ht="15.75" x14ac:dyDescent="0.25">
      <c r="A9" s="286" t="s">
        <v>243</v>
      </c>
      <c r="B9" s="280"/>
      <c r="C9" s="281"/>
      <c r="F9" s="278"/>
      <c r="G9" s="278"/>
      <c r="H9" s="278"/>
      <c r="I9" s="278"/>
      <c r="J9" s="278"/>
      <c r="K9" s="278"/>
      <c r="L9" s="278"/>
      <c r="M9" s="278"/>
      <c r="N9" s="278"/>
      <c r="O9" s="278"/>
      <c r="P9" s="278"/>
      <c r="Q9" s="278"/>
      <c r="R9" s="278"/>
    </row>
    <row r="10" spans="1:18" ht="15.75" x14ac:dyDescent="0.25">
      <c r="A10" s="286" t="s">
        <v>244</v>
      </c>
      <c r="B10" s="280"/>
      <c r="C10" s="281"/>
      <c r="F10" s="278"/>
      <c r="G10" s="278"/>
      <c r="H10" s="278"/>
      <c r="I10" s="278"/>
      <c r="J10" s="278"/>
      <c r="K10" s="278"/>
      <c r="L10" s="278"/>
      <c r="M10" s="278"/>
      <c r="N10" s="278"/>
      <c r="O10" s="278"/>
      <c r="P10" s="278"/>
      <c r="Q10" s="278"/>
      <c r="R10" s="278"/>
    </row>
    <row r="11" spans="1:18" ht="16.5" thickBot="1" x14ac:dyDescent="0.3">
      <c r="A11" s="287"/>
      <c r="B11" s="287"/>
      <c r="C11" s="288"/>
      <c r="D11" s="287"/>
      <c r="E11" s="289"/>
      <c r="F11" s="290"/>
      <c r="G11" s="291" t="s">
        <v>245</v>
      </c>
      <c r="H11" s="291"/>
      <c r="I11" s="289"/>
      <c r="J11" s="289"/>
      <c r="K11" s="289"/>
      <c r="L11" s="289"/>
      <c r="M11" s="278"/>
      <c r="N11" s="291" t="s">
        <v>246</v>
      </c>
      <c r="O11" s="291"/>
      <c r="P11" s="291"/>
      <c r="Q11" s="291"/>
      <c r="R11" s="289"/>
    </row>
    <row r="12" spans="1:18" ht="15.75" x14ac:dyDescent="0.25">
      <c r="A12" s="292" t="s">
        <v>69</v>
      </c>
      <c r="B12" s="293" t="s">
        <v>247</v>
      </c>
      <c r="C12" s="294" t="s">
        <v>248</v>
      </c>
      <c r="D12" s="295" t="s">
        <v>9</v>
      </c>
      <c r="E12" s="296" t="s">
        <v>249</v>
      </c>
      <c r="F12" s="297"/>
      <c r="G12" s="298" t="s">
        <v>250</v>
      </c>
      <c r="H12" s="299" t="s">
        <v>251</v>
      </c>
      <c r="I12" s="300" t="s">
        <v>252</v>
      </c>
      <c r="J12" s="301" t="s">
        <v>253</v>
      </c>
      <c r="K12" s="302" t="s">
        <v>9</v>
      </c>
      <c r="L12" s="303"/>
      <c r="M12" s="278"/>
      <c r="N12" s="298" t="s">
        <v>250</v>
      </c>
      <c r="O12" s="304" t="s">
        <v>252</v>
      </c>
      <c r="P12" s="305" t="s">
        <v>253</v>
      </c>
      <c r="Q12" s="304" t="s">
        <v>9</v>
      </c>
      <c r="R12" s="303"/>
    </row>
    <row r="13" spans="1:18" ht="15.75" x14ac:dyDescent="0.25">
      <c r="A13" s="306" t="s">
        <v>254</v>
      </c>
      <c r="B13" s="307" t="s">
        <v>150</v>
      </c>
      <c r="C13" s="308"/>
      <c r="D13" s="309" t="s">
        <v>150</v>
      </c>
      <c r="E13" s="310" t="s">
        <v>255</v>
      </c>
      <c r="F13" s="311"/>
      <c r="G13" s="312" t="s">
        <v>206</v>
      </c>
      <c r="H13" s="313">
        <v>8</v>
      </c>
      <c r="I13" s="314">
        <v>281</v>
      </c>
      <c r="J13" s="315" t="s">
        <v>256</v>
      </c>
      <c r="K13" s="316">
        <f>(I13*H13)*2</f>
        <v>4496</v>
      </c>
      <c r="L13" s="317"/>
      <c r="M13" s="278"/>
      <c r="N13" s="318" t="s">
        <v>257</v>
      </c>
      <c r="O13" s="319">
        <v>750</v>
      </c>
      <c r="P13" s="320">
        <v>1</v>
      </c>
      <c r="Q13" s="319">
        <f>O13*P13</f>
        <v>750</v>
      </c>
      <c r="R13" s="318"/>
    </row>
    <row r="14" spans="1:18" ht="15.75" x14ac:dyDescent="0.25">
      <c r="A14" s="321" t="s">
        <v>258</v>
      </c>
      <c r="B14" s="322">
        <v>16</v>
      </c>
      <c r="C14" s="323">
        <f>B14/8</f>
        <v>2</v>
      </c>
      <c r="D14" s="324">
        <f>E2*B14</f>
        <v>1808</v>
      </c>
      <c r="E14" s="310"/>
      <c r="F14" s="325"/>
      <c r="G14" s="312" t="s">
        <v>259</v>
      </c>
      <c r="H14" s="313"/>
      <c r="I14" s="326">
        <v>3000</v>
      </c>
      <c r="J14" s="315" t="s">
        <v>260</v>
      </c>
      <c r="K14" s="327">
        <f>I14*2</f>
        <v>6000</v>
      </c>
      <c r="L14" s="317"/>
      <c r="M14" s="278"/>
      <c r="N14" s="318" t="s">
        <v>261</v>
      </c>
      <c r="O14" s="319">
        <v>200</v>
      </c>
      <c r="P14" s="320">
        <v>2</v>
      </c>
      <c r="Q14" s="319">
        <f t="shared" ref="Q14:Q16" si="0">O14*P14</f>
        <v>400</v>
      </c>
      <c r="R14" s="318"/>
    </row>
    <row r="15" spans="1:18" ht="15.75" x14ac:dyDescent="0.25">
      <c r="A15" s="321" t="s">
        <v>262</v>
      </c>
      <c r="B15" s="322">
        <v>6</v>
      </c>
      <c r="C15" s="323">
        <f t="shared" ref="C15" si="1">B15/8</f>
        <v>0.75</v>
      </c>
      <c r="D15" s="324">
        <f>E3*B15</f>
        <v>780</v>
      </c>
      <c r="E15" s="328"/>
      <c r="F15" s="325"/>
      <c r="G15" s="317" t="s">
        <v>263</v>
      </c>
      <c r="H15" s="313">
        <v>5</v>
      </c>
      <c r="I15" s="329">
        <v>100</v>
      </c>
      <c r="J15" s="317" t="s">
        <v>256</v>
      </c>
      <c r="K15" s="329">
        <f>H15*I15</f>
        <v>500</v>
      </c>
      <c r="L15" s="317"/>
      <c r="M15" s="278"/>
      <c r="N15" s="318" t="s">
        <v>264</v>
      </c>
      <c r="O15" s="319">
        <v>40</v>
      </c>
      <c r="P15" s="320">
        <v>4</v>
      </c>
      <c r="Q15" s="319">
        <f t="shared" si="0"/>
        <v>160</v>
      </c>
      <c r="R15" s="318"/>
    </row>
    <row r="16" spans="1:18" ht="15.75" x14ac:dyDescent="0.25">
      <c r="A16" s="321"/>
      <c r="B16" s="322"/>
      <c r="C16" s="323"/>
      <c r="D16" s="330"/>
      <c r="E16" s="331">
        <f>D14+D15</f>
        <v>2588</v>
      </c>
      <c r="F16" s="325"/>
      <c r="G16" s="317"/>
      <c r="H16" s="317"/>
      <c r="I16" s="317"/>
      <c r="J16" s="317"/>
      <c r="K16" s="317"/>
      <c r="L16" s="332">
        <f>SUM(K13:K15)</f>
        <v>10996</v>
      </c>
      <c r="M16" s="278"/>
      <c r="N16" s="318" t="s">
        <v>265</v>
      </c>
      <c r="O16" s="319">
        <v>5</v>
      </c>
      <c r="P16" s="320">
        <v>40</v>
      </c>
      <c r="Q16" s="319">
        <f t="shared" si="0"/>
        <v>200</v>
      </c>
      <c r="R16" s="318"/>
    </row>
    <row r="17" spans="1:18" ht="15.75" x14ac:dyDescent="0.25">
      <c r="A17" s="333"/>
      <c r="B17" s="334"/>
      <c r="C17" s="335"/>
      <c r="D17" s="336"/>
      <c r="E17" s="337"/>
      <c r="F17" s="325"/>
      <c r="G17" s="278"/>
      <c r="H17" s="278"/>
      <c r="I17" s="278"/>
      <c r="J17" s="278"/>
      <c r="K17" s="278"/>
      <c r="L17" s="337"/>
      <c r="M17" s="278"/>
      <c r="N17" s="318"/>
      <c r="O17" s="318"/>
      <c r="P17" s="318"/>
      <c r="Q17" s="318"/>
      <c r="R17" s="338">
        <f>SUM(Q13:Q14)</f>
        <v>1150</v>
      </c>
    </row>
    <row r="18" spans="1:18" ht="15.75" x14ac:dyDescent="0.25">
      <c r="A18" s="339" t="s">
        <v>266</v>
      </c>
      <c r="B18" s="340"/>
      <c r="C18" s="341"/>
      <c r="D18" s="342"/>
      <c r="E18" s="343"/>
      <c r="F18" s="311"/>
      <c r="G18" s="278"/>
      <c r="H18" s="278"/>
      <c r="I18" s="278"/>
      <c r="J18" s="278"/>
      <c r="K18" s="278"/>
      <c r="L18" s="278"/>
      <c r="M18" s="278"/>
      <c r="N18" s="278"/>
      <c r="O18" s="278"/>
      <c r="P18" s="278"/>
      <c r="Q18" s="278"/>
      <c r="R18" s="278"/>
    </row>
    <row r="19" spans="1:18" ht="15.75" x14ac:dyDescent="0.25">
      <c r="A19" s="344" t="s">
        <v>258</v>
      </c>
      <c r="B19" s="340">
        <v>8</v>
      </c>
      <c r="C19" s="341">
        <f>B19/8</f>
        <v>1</v>
      </c>
      <c r="D19" s="342">
        <f>E2*B19</f>
        <v>904</v>
      </c>
      <c r="E19" s="343"/>
      <c r="F19" s="290"/>
      <c r="G19" s="278"/>
      <c r="H19" s="278"/>
      <c r="I19" s="278"/>
      <c r="J19" s="278"/>
      <c r="K19" s="278"/>
      <c r="L19" s="278"/>
      <c r="M19" s="278"/>
      <c r="N19" s="278"/>
      <c r="O19" s="278"/>
      <c r="P19" s="278"/>
      <c r="Q19" s="278"/>
      <c r="R19" s="278"/>
    </row>
    <row r="20" spans="1:18" ht="15.75" x14ac:dyDescent="0.25">
      <c r="A20" s="344" t="s">
        <v>262</v>
      </c>
      <c r="B20" s="340">
        <v>4</v>
      </c>
      <c r="C20" s="341">
        <f t="shared" ref="C20:C21" si="2">B20/8</f>
        <v>0.5</v>
      </c>
      <c r="D20" s="342">
        <f>E3*B20</f>
        <v>520</v>
      </c>
      <c r="E20" s="343"/>
      <c r="F20" s="290"/>
      <c r="G20" s="278"/>
      <c r="H20" s="278"/>
      <c r="I20" s="278"/>
      <c r="J20" s="278"/>
      <c r="K20" s="278"/>
      <c r="L20" s="278"/>
      <c r="M20" s="278"/>
      <c r="N20" s="278"/>
      <c r="O20" s="278"/>
      <c r="P20" s="278"/>
      <c r="Q20" s="278"/>
      <c r="R20" s="278"/>
    </row>
    <row r="21" spans="1:18" ht="15.75" x14ac:dyDescent="0.25">
      <c r="A21" s="344" t="s">
        <v>267</v>
      </c>
      <c r="B21" s="340">
        <v>2</v>
      </c>
      <c r="C21" s="341">
        <f t="shared" si="2"/>
        <v>0.25</v>
      </c>
      <c r="D21" s="342">
        <f>E4*B21</f>
        <v>336</v>
      </c>
      <c r="E21" s="343"/>
      <c r="F21" s="290"/>
      <c r="G21" s="278"/>
      <c r="H21" s="278"/>
      <c r="I21" s="278"/>
      <c r="J21" s="278"/>
      <c r="K21" s="278"/>
      <c r="L21" s="278"/>
      <c r="M21" s="278"/>
      <c r="N21" s="278"/>
      <c r="O21" s="278"/>
      <c r="P21" s="278"/>
      <c r="Q21" s="278"/>
      <c r="R21" s="278"/>
    </row>
    <row r="22" spans="1:18" ht="15.75" x14ac:dyDescent="0.25">
      <c r="A22" s="345"/>
      <c r="B22" s="340"/>
      <c r="C22" s="341"/>
      <c r="D22" s="346"/>
      <c r="E22" s="347">
        <f>D19+D20+D21</f>
        <v>1760</v>
      </c>
      <c r="F22" s="290"/>
      <c r="G22" s="278"/>
      <c r="H22" s="278"/>
      <c r="I22" s="278"/>
      <c r="J22" s="278"/>
      <c r="K22" s="278"/>
      <c r="L22" s="278"/>
      <c r="M22" s="278"/>
      <c r="N22" s="278"/>
      <c r="O22" s="278"/>
      <c r="P22" s="278"/>
      <c r="Q22" s="278"/>
      <c r="R22" s="278"/>
    </row>
    <row r="23" spans="1:18" ht="15.75" x14ac:dyDescent="0.25">
      <c r="A23" s="333"/>
      <c r="B23" s="334"/>
      <c r="C23" s="335"/>
      <c r="D23" s="348"/>
      <c r="E23" s="278"/>
      <c r="F23" s="325"/>
      <c r="G23" s="278"/>
      <c r="H23" s="278"/>
      <c r="I23" s="278"/>
      <c r="J23" s="278"/>
      <c r="K23" s="278"/>
      <c r="L23" s="278"/>
      <c r="M23" s="278"/>
      <c r="N23" s="278"/>
      <c r="O23" s="278"/>
      <c r="P23" s="278"/>
      <c r="Q23" s="278"/>
      <c r="R23" s="278"/>
    </row>
    <row r="24" spans="1:18" ht="15.75" x14ac:dyDescent="0.25">
      <c r="A24" s="349" t="s">
        <v>268</v>
      </c>
      <c r="B24" s="350"/>
      <c r="C24" s="351"/>
      <c r="D24" s="352"/>
      <c r="E24" s="353"/>
      <c r="N24" s="278"/>
      <c r="O24" s="278"/>
      <c r="P24" s="278"/>
      <c r="Q24" s="278"/>
      <c r="R24" s="278"/>
    </row>
    <row r="25" spans="1:18" ht="15.75" x14ac:dyDescent="0.25">
      <c r="A25" s="354" t="s">
        <v>258</v>
      </c>
      <c r="B25" s="350">
        <v>10</v>
      </c>
      <c r="C25" s="351">
        <f>B25/8</f>
        <v>1.25</v>
      </c>
      <c r="D25" s="352">
        <f>E2*B25</f>
        <v>1130</v>
      </c>
      <c r="E25" s="353"/>
    </row>
    <row r="26" spans="1:18" ht="15.75" x14ac:dyDescent="0.25">
      <c r="A26" s="354" t="s">
        <v>262</v>
      </c>
      <c r="B26" s="350">
        <v>4</v>
      </c>
      <c r="C26" s="351">
        <f t="shared" ref="C26:C27" si="3">B26/8</f>
        <v>0.5</v>
      </c>
      <c r="D26" s="352">
        <f>E3*B26</f>
        <v>520</v>
      </c>
      <c r="E26" s="353"/>
    </row>
    <row r="27" spans="1:18" ht="15.75" x14ac:dyDescent="0.25">
      <c r="A27" s="354" t="s">
        <v>267</v>
      </c>
      <c r="B27" s="350">
        <v>2</v>
      </c>
      <c r="C27" s="351">
        <f t="shared" si="3"/>
        <v>0.25</v>
      </c>
      <c r="D27" s="352">
        <f>E4*B27</f>
        <v>336</v>
      </c>
      <c r="E27" s="353"/>
    </row>
    <row r="28" spans="1:18" ht="15.75" x14ac:dyDescent="0.25">
      <c r="A28" s="354"/>
      <c r="B28" s="350"/>
      <c r="C28" s="351"/>
      <c r="D28" s="355"/>
      <c r="E28" s="356">
        <f>D25+D26+D27</f>
        <v>1986</v>
      </c>
    </row>
    <row r="29" spans="1:18" ht="15.75" x14ac:dyDescent="0.25">
      <c r="A29" s="344"/>
      <c r="B29" s="340"/>
      <c r="C29" s="341"/>
      <c r="D29" s="346"/>
      <c r="E29" s="347"/>
    </row>
    <row r="30" spans="1:18" ht="15.75" x14ac:dyDescent="0.25">
      <c r="A30" s="357" t="s">
        <v>269</v>
      </c>
      <c r="B30" s="358"/>
      <c r="C30" s="359"/>
      <c r="D30" s="360" t="s">
        <v>150</v>
      </c>
      <c r="E30" s="361"/>
      <c r="F30" s="311"/>
    </row>
    <row r="31" spans="1:18" ht="15.75" x14ac:dyDescent="0.25">
      <c r="A31" s="362" t="s">
        <v>258</v>
      </c>
      <c r="B31" s="358">
        <v>40</v>
      </c>
      <c r="C31" s="359">
        <f>B31/10</f>
        <v>4</v>
      </c>
      <c r="D31" s="360">
        <f>E2*B31</f>
        <v>4520</v>
      </c>
      <c r="E31" s="361"/>
      <c r="F31" s="325"/>
    </row>
    <row r="32" spans="1:18" ht="15.75" x14ac:dyDescent="0.25">
      <c r="A32" s="362" t="s">
        <v>262</v>
      </c>
      <c r="B32" s="358">
        <v>40</v>
      </c>
      <c r="C32" s="359">
        <f>B32/10</f>
        <v>4</v>
      </c>
      <c r="D32" s="360">
        <f>E3*B32</f>
        <v>5200</v>
      </c>
      <c r="E32" s="361"/>
      <c r="F32" s="325"/>
    </row>
    <row r="33" spans="1:18" ht="15.75" x14ac:dyDescent="0.25">
      <c r="A33" s="362"/>
      <c r="B33" s="358"/>
      <c r="C33" s="359"/>
      <c r="D33" s="363"/>
      <c r="E33" s="364">
        <f>SUM(D31:D32)</f>
        <v>9720</v>
      </c>
      <c r="F33" s="325"/>
    </row>
    <row r="34" spans="1:18" ht="15.75" x14ac:dyDescent="0.25">
      <c r="A34" s="333"/>
      <c r="B34" s="334"/>
      <c r="C34" s="335"/>
      <c r="D34" s="336"/>
      <c r="E34" s="337"/>
      <c r="F34" s="325"/>
    </row>
    <row r="35" spans="1:18" ht="15.75" x14ac:dyDescent="0.25">
      <c r="A35" s="365" t="s">
        <v>270</v>
      </c>
      <c r="B35" s="366"/>
      <c r="C35" s="367"/>
      <c r="D35" s="368"/>
      <c r="E35" s="369"/>
      <c r="F35" s="325"/>
      <c r="G35" s="278"/>
      <c r="H35" s="334"/>
      <c r="I35" s="370"/>
      <c r="J35" s="278"/>
      <c r="K35" s="370"/>
      <c r="L35" s="337"/>
      <c r="M35" s="278"/>
    </row>
    <row r="36" spans="1:18" ht="15.75" x14ac:dyDescent="0.25">
      <c r="A36" s="371" t="s">
        <v>258</v>
      </c>
      <c r="B36" s="366">
        <v>3</v>
      </c>
      <c r="C36" s="367">
        <f>B36/8</f>
        <v>0.375</v>
      </c>
      <c r="D36" s="372">
        <f>E2*B36</f>
        <v>339</v>
      </c>
      <c r="E36" s="369"/>
      <c r="F36" s="311"/>
      <c r="G36" s="278"/>
      <c r="H36" s="278"/>
      <c r="I36" s="278"/>
      <c r="J36" s="278"/>
      <c r="K36" s="278"/>
      <c r="L36" s="278"/>
      <c r="M36" s="278"/>
      <c r="N36" s="278"/>
      <c r="O36" s="278"/>
      <c r="P36" s="278"/>
      <c r="Q36" s="278"/>
      <c r="R36" s="373"/>
    </row>
    <row r="37" spans="1:18" ht="15.75" x14ac:dyDescent="0.25">
      <c r="A37" s="371" t="s">
        <v>262</v>
      </c>
      <c r="B37" s="366">
        <v>1.5</v>
      </c>
      <c r="C37" s="367">
        <f t="shared" ref="C37" si="4">B37/8</f>
        <v>0.1875</v>
      </c>
      <c r="D37" s="372">
        <f>E3*B37</f>
        <v>195</v>
      </c>
      <c r="E37" s="369"/>
      <c r="F37" s="325"/>
      <c r="G37" s="278"/>
      <c r="H37" s="278"/>
      <c r="I37" s="278"/>
      <c r="J37" s="278"/>
      <c r="K37" s="278"/>
      <c r="L37" s="278"/>
      <c r="M37" s="278"/>
      <c r="N37" s="278"/>
      <c r="O37" s="278"/>
      <c r="P37" s="278"/>
      <c r="Q37" s="278"/>
      <c r="R37" s="278"/>
    </row>
    <row r="38" spans="1:18" ht="15.75" x14ac:dyDescent="0.25">
      <c r="A38" s="371"/>
      <c r="B38" s="366"/>
      <c r="C38" s="367"/>
      <c r="D38" s="368"/>
      <c r="E38" s="374">
        <f>D36+D37</f>
        <v>534</v>
      </c>
      <c r="F38" s="375"/>
      <c r="G38" s="278"/>
      <c r="H38" s="278"/>
      <c r="I38" s="278"/>
      <c r="J38" s="278"/>
      <c r="K38" s="278"/>
      <c r="L38" s="278"/>
      <c r="M38" s="278"/>
      <c r="N38" s="278"/>
      <c r="O38" s="278"/>
      <c r="P38" s="278"/>
      <c r="Q38" s="278"/>
      <c r="R38" s="278"/>
    </row>
    <row r="39" spans="1:18" ht="15.75" x14ac:dyDescent="0.25">
      <c r="A39" s="333"/>
      <c r="B39" s="334"/>
      <c r="C39" s="335"/>
      <c r="D39" s="348"/>
      <c r="E39" s="278"/>
      <c r="F39" s="375"/>
      <c r="G39" s="278"/>
      <c r="H39" s="278"/>
      <c r="I39" s="278"/>
      <c r="J39" s="278"/>
      <c r="K39" s="278"/>
      <c r="L39" s="278"/>
      <c r="M39" s="278"/>
      <c r="N39" s="278"/>
      <c r="O39" s="278"/>
      <c r="P39" s="278"/>
      <c r="Q39" s="278"/>
      <c r="R39" s="278"/>
    </row>
    <row r="40" spans="1:18" ht="15.75" x14ac:dyDescent="0.25">
      <c r="A40" s="376" t="s">
        <v>271</v>
      </c>
      <c r="B40" s="377"/>
      <c r="C40" s="378"/>
      <c r="D40" s="379"/>
      <c r="E40" s="380"/>
      <c r="F40" s="375"/>
      <c r="G40" s="278"/>
      <c r="H40" s="278"/>
      <c r="I40" s="278"/>
      <c r="J40" s="278"/>
      <c r="K40" s="278"/>
      <c r="L40" s="278"/>
      <c r="M40" s="278"/>
      <c r="N40" s="278"/>
      <c r="O40" s="278"/>
      <c r="P40" s="278"/>
      <c r="Q40" s="278"/>
      <c r="R40" s="278"/>
    </row>
    <row r="41" spans="1:18" ht="15.75" x14ac:dyDescent="0.25">
      <c r="A41" s="381" t="s">
        <v>258</v>
      </c>
      <c r="B41" s="377">
        <v>10</v>
      </c>
      <c r="C41" s="378">
        <f>B41/8</f>
        <v>1.25</v>
      </c>
      <c r="D41" s="382">
        <f>E2*B41</f>
        <v>1130</v>
      </c>
      <c r="E41" s="380"/>
      <c r="F41" s="311"/>
      <c r="G41" s="278"/>
      <c r="H41" s="278"/>
      <c r="I41" s="278"/>
      <c r="J41" s="278"/>
      <c r="K41" s="278"/>
      <c r="L41" s="278"/>
      <c r="M41" s="278"/>
      <c r="N41" s="278"/>
      <c r="O41" s="278"/>
      <c r="P41" s="278"/>
      <c r="Q41" s="278"/>
      <c r="R41" s="278"/>
    </row>
    <row r="42" spans="1:18" ht="15.75" x14ac:dyDescent="0.25">
      <c r="A42" s="381" t="s">
        <v>262</v>
      </c>
      <c r="B42" s="377">
        <v>2</v>
      </c>
      <c r="C42" s="378">
        <f t="shared" ref="C42" si="5">B42/8</f>
        <v>0.25</v>
      </c>
      <c r="D42" s="382">
        <f>E3*B42</f>
        <v>260</v>
      </c>
      <c r="E42" s="380"/>
      <c r="F42" s="325"/>
      <c r="G42" s="278"/>
      <c r="H42" s="278"/>
      <c r="I42" s="278"/>
      <c r="J42" s="278"/>
      <c r="K42" s="278"/>
      <c r="L42" s="278"/>
      <c r="M42" s="278"/>
      <c r="N42" s="278"/>
      <c r="O42" s="278"/>
      <c r="P42" s="278"/>
      <c r="Q42" s="278"/>
      <c r="R42" s="278"/>
    </row>
    <row r="43" spans="1:18" ht="15.75" x14ac:dyDescent="0.25">
      <c r="A43" s="381"/>
      <c r="B43" s="377"/>
      <c r="C43" s="378"/>
      <c r="D43" s="379"/>
      <c r="E43" s="383">
        <f>D41+D42</f>
        <v>1390</v>
      </c>
      <c r="F43" s="325"/>
      <c r="G43" s="278"/>
      <c r="H43" s="278"/>
      <c r="I43" s="278"/>
      <c r="J43" s="278"/>
      <c r="K43" s="278"/>
      <c r="L43" s="278"/>
      <c r="M43" s="278"/>
      <c r="N43" s="278"/>
      <c r="O43" s="278"/>
      <c r="P43" s="278"/>
      <c r="Q43" s="278"/>
      <c r="R43" s="278"/>
    </row>
    <row r="44" spans="1:18" ht="15.75" x14ac:dyDescent="0.25">
      <c r="A44" s="333"/>
      <c r="B44" s="334"/>
      <c r="C44" s="335"/>
      <c r="D44" s="348"/>
      <c r="E44" s="278"/>
      <c r="F44" s="325"/>
      <c r="G44" s="278"/>
      <c r="H44" s="278"/>
      <c r="I44" s="278"/>
      <c r="J44" s="278"/>
      <c r="K44" s="278"/>
      <c r="L44" s="278"/>
      <c r="M44" s="278"/>
      <c r="N44" s="278"/>
      <c r="O44" s="278"/>
      <c r="P44" s="278"/>
      <c r="Q44" s="278"/>
      <c r="R44" s="278"/>
    </row>
    <row r="45" spans="1:18" ht="15.75" x14ac:dyDescent="0.25">
      <c r="A45" s="384" t="s">
        <v>272</v>
      </c>
      <c r="B45" s="385"/>
      <c r="C45" s="386"/>
      <c r="D45" s="387"/>
      <c r="E45" s="388"/>
      <c r="F45" s="389"/>
      <c r="G45" s="278"/>
      <c r="H45" s="278"/>
      <c r="I45" s="278"/>
      <c r="J45" s="278"/>
      <c r="K45" s="278"/>
      <c r="L45" s="278"/>
      <c r="M45" s="390"/>
      <c r="N45" s="278"/>
      <c r="O45" s="278"/>
      <c r="P45" s="278"/>
      <c r="Q45" s="278"/>
      <c r="R45" s="278"/>
    </row>
    <row r="46" spans="1:18" ht="15.75" x14ac:dyDescent="0.25">
      <c r="A46" s="391" t="s">
        <v>258</v>
      </c>
      <c r="B46" s="385">
        <v>80</v>
      </c>
      <c r="C46" s="386">
        <f>B46/8</f>
        <v>10</v>
      </c>
      <c r="D46" s="387">
        <f>E2*B46</f>
        <v>9040</v>
      </c>
      <c r="E46" s="388"/>
      <c r="F46" s="311"/>
      <c r="G46" s="278"/>
      <c r="H46" s="278"/>
      <c r="I46" s="278"/>
      <c r="J46" s="278"/>
      <c r="K46" s="278"/>
      <c r="L46" s="278"/>
      <c r="M46" s="278"/>
      <c r="N46" s="278"/>
      <c r="O46" s="278"/>
      <c r="P46" s="278"/>
      <c r="Q46" s="278"/>
      <c r="R46" s="278"/>
    </row>
    <row r="47" spans="1:18" ht="15.75" x14ac:dyDescent="0.25">
      <c r="A47" s="391" t="s">
        <v>262</v>
      </c>
      <c r="B47" s="385">
        <v>20</v>
      </c>
      <c r="C47" s="386">
        <f>B47/8</f>
        <v>2.5</v>
      </c>
      <c r="D47" s="387">
        <f>E3*B47</f>
        <v>2600</v>
      </c>
      <c r="E47" s="388"/>
      <c r="F47" s="325"/>
      <c r="G47" s="278"/>
      <c r="H47" s="278"/>
      <c r="I47" s="278"/>
      <c r="J47" s="278"/>
      <c r="K47" s="278"/>
      <c r="L47" s="278"/>
      <c r="M47" s="278"/>
      <c r="N47" s="278"/>
      <c r="O47" s="278"/>
      <c r="P47" s="278"/>
      <c r="Q47" s="278"/>
      <c r="R47" s="278"/>
    </row>
    <row r="48" spans="1:18" ht="15.75" x14ac:dyDescent="0.25">
      <c r="A48" s="391" t="s">
        <v>267</v>
      </c>
      <c r="B48" s="385">
        <v>4</v>
      </c>
      <c r="C48" s="386">
        <f t="shared" ref="C48" si="6">B48/8</f>
        <v>0.5</v>
      </c>
      <c r="D48" s="387">
        <f>E4*B48</f>
        <v>672</v>
      </c>
      <c r="E48" s="388"/>
      <c r="F48" s="325"/>
      <c r="G48" s="278"/>
      <c r="H48" s="278"/>
      <c r="I48" s="278"/>
      <c r="J48" s="278"/>
      <c r="K48" s="278"/>
      <c r="L48" s="278"/>
      <c r="M48" s="278"/>
      <c r="N48" s="278"/>
      <c r="O48" s="278"/>
      <c r="P48" s="278"/>
      <c r="Q48" s="278"/>
      <c r="R48" s="278"/>
    </row>
    <row r="49" spans="1:24" ht="15.75" x14ac:dyDescent="0.25">
      <c r="A49" s="391"/>
      <c r="B49" s="385"/>
      <c r="C49" s="386"/>
      <c r="D49" s="392"/>
      <c r="E49" s="393">
        <f>D46+D47+D48</f>
        <v>12312</v>
      </c>
      <c r="F49" s="325"/>
      <c r="G49" s="278"/>
      <c r="H49" s="278"/>
      <c r="I49" s="278"/>
      <c r="J49" s="278"/>
      <c r="K49" s="278"/>
      <c r="L49" s="278"/>
      <c r="M49" s="278"/>
      <c r="N49" s="278"/>
      <c r="O49" s="278"/>
      <c r="P49" s="278"/>
      <c r="Q49" s="278"/>
      <c r="R49" s="278"/>
    </row>
    <row r="50" spans="1:24" ht="15.75" x14ac:dyDescent="0.25">
      <c r="A50" s="333"/>
      <c r="B50" s="334"/>
      <c r="C50" s="335"/>
      <c r="D50" s="336"/>
      <c r="E50" s="337"/>
      <c r="F50" s="325"/>
      <c r="G50" s="278"/>
      <c r="H50" s="278"/>
      <c r="I50" s="278"/>
      <c r="J50" s="278"/>
      <c r="K50" s="278"/>
      <c r="L50" s="278"/>
      <c r="M50" s="278"/>
      <c r="N50" s="278"/>
      <c r="O50" s="278"/>
      <c r="P50" s="278"/>
      <c r="Q50" s="278"/>
      <c r="R50" s="278"/>
    </row>
    <row r="51" spans="1:24" ht="15.75" x14ac:dyDescent="0.25">
      <c r="A51" s="394" t="s">
        <v>273</v>
      </c>
      <c r="B51" s="322"/>
      <c r="C51" s="323"/>
      <c r="D51" s="324"/>
      <c r="E51" s="328"/>
      <c r="F51" s="325"/>
      <c r="G51" s="278"/>
      <c r="H51" s="278"/>
      <c r="I51" s="278"/>
      <c r="J51" s="278"/>
      <c r="K51" s="278"/>
      <c r="L51" s="278"/>
      <c r="M51" s="278"/>
      <c r="N51" s="278"/>
      <c r="O51" s="278"/>
      <c r="P51" s="278"/>
      <c r="Q51" s="278"/>
      <c r="R51" s="278"/>
    </row>
    <row r="52" spans="1:24" ht="15.75" x14ac:dyDescent="0.25">
      <c r="A52" s="321" t="s">
        <v>258</v>
      </c>
      <c r="B52" s="322">
        <v>24</v>
      </c>
      <c r="C52" s="323">
        <f>B52/8</f>
        <v>3</v>
      </c>
      <c r="D52" s="324">
        <f>E2*B52</f>
        <v>2712</v>
      </c>
      <c r="E52" s="328"/>
      <c r="F52" s="325"/>
      <c r="G52" s="278"/>
      <c r="H52" s="278"/>
      <c r="I52" s="278"/>
      <c r="J52" s="278"/>
      <c r="K52" s="278"/>
      <c r="L52" s="278"/>
      <c r="M52" s="278"/>
      <c r="N52" s="278"/>
      <c r="O52" s="278"/>
      <c r="P52" s="278"/>
      <c r="Q52" s="278"/>
      <c r="R52" s="278"/>
    </row>
    <row r="53" spans="1:24" ht="15.75" x14ac:dyDescent="0.25">
      <c r="A53" s="321" t="s">
        <v>262</v>
      </c>
      <c r="B53" s="322">
        <v>8</v>
      </c>
      <c r="C53" s="323">
        <f t="shared" ref="C53:C54" si="7">B53/8</f>
        <v>1</v>
      </c>
      <c r="D53" s="324">
        <f>E3*B53</f>
        <v>1040</v>
      </c>
      <c r="E53" s="328"/>
      <c r="F53" s="311"/>
      <c r="G53" s="278"/>
      <c r="H53" s="278"/>
      <c r="I53" s="278"/>
      <c r="J53" s="278"/>
      <c r="K53" s="278"/>
      <c r="L53" s="278"/>
      <c r="M53" s="278"/>
      <c r="N53" s="278"/>
      <c r="O53" s="278"/>
      <c r="P53" s="278"/>
      <c r="Q53" s="278"/>
      <c r="R53" s="278"/>
    </row>
    <row r="54" spans="1:24" ht="15.75" x14ac:dyDescent="0.25">
      <c r="A54" s="321" t="s">
        <v>267</v>
      </c>
      <c r="B54" s="322">
        <v>2</v>
      </c>
      <c r="C54" s="323">
        <f t="shared" si="7"/>
        <v>0.25</v>
      </c>
      <c r="D54" s="324">
        <f>E4*B54</f>
        <v>336</v>
      </c>
      <c r="E54" s="328"/>
      <c r="F54" s="290"/>
      <c r="G54" s="278"/>
      <c r="H54" s="278"/>
      <c r="I54" s="278"/>
      <c r="J54" s="278"/>
      <c r="K54" s="278"/>
      <c r="L54" s="278"/>
      <c r="M54" s="278"/>
      <c r="N54" s="278"/>
      <c r="O54" s="278"/>
      <c r="P54" s="278"/>
      <c r="Q54" s="278"/>
      <c r="R54" s="278"/>
    </row>
    <row r="55" spans="1:24" ht="15.75" x14ac:dyDescent="0.25">
      <c r="A55" s="306"/>
      <c r="B55" s="322"/>
      <c r="C55" s="323"/>
      <c r="D55" s="330"/>
      <c r="E55" s="331">
        <f>D52+D53+D54</f>
        <v>4088</v>
      </c>
      <c r="F55" s="290"/>
      <c r="G55" s="278"/>
      <c r="H55" s="278"/>
      <c r="I55" s="278"/>
      <c r="J55" s="278"/>
      <c r="K55" s="278"/>
      <c r="L55" s="278"/>
      <c r="M55" s="278"/>
      <c r="N55" s="278"/>
      <c r="O55" s="278"/>
      <c r="P55" s="278"/>
      <c r="Q55" s="278"/>
      <c r="R55" s="278"/>
      <c r="U55" s="395"/>
    </row>
    <row r="56" spans="1:24" ht="15.75" x14ac:dyDescent="0.25">
      <c r="A56" s="396"/>
      <c r="B56" s="334"/>
      <c r="C56" s="335"/>
      <c r="D56" s="336"/>
      <c r="E56" s="337"/>
      <c r="F56" s="290"/>
      <c r="G56" s="278"/>
      <c r="H56" s="278"/>
      <c r="I56" s="278"/>
      <c r="J56" s="278"/>
      <c r="K56" s="278"/>
      <c r="L56" s="278"/>
      <c r="M56" s="278"/>
      <c r="N56" s="278"/>
      <c r="O56" s="278"/>
      <c r="P56" s="278"/>
      <c r="Q56" s="278"/>
      <c r="R56" s="278"/>
      <c r="U56" s="395"/>
    </row>
    <row r="57" spans="1:24" ht="15.75" x14ac:dyDescent="0.25">
      <c r="A57" s="397" t="s">
        <v>274</v>
      </c>
      <c r="B57" s="398"/>
      <c r="C57" s="399"/>
      <c r="D57" s="400"/>
      <c r="E57" s="318"/>
      <c r="F57" s="290"/>
      <c r="G57" s="278"/>
      <c r="H57" s="278"/>
      <c r="I57" s="278"/>
      <c r="J57" s="278"/>
      <c r="K57" s="278"/>
      <c r="L57" s="278"/>
      <c r="M57" s="278"/>
      <c r="N57" s="278"/>
      <c r="O57" s="278"/>
      <c r="P57" s="278"/>
      <c r="Q57" s="278"/>
      <c r="R57" s="278"/>
      <c r="X57" s="401"/>
    </row>
    <row r="58" spans="1:24" ht="15.75" x14ac:dyDescent="0.25">
      <c r="A58" s="402" t="s">
        <v>258</v>
      </c>
      <c r="B58" s="398">
        <v>120</v>
      </c>
      <c r="C58" s="399">
        <f>B58/8</f>
        <v>15</v>
      </c>
      <c r="D58" s="400">
        <f>E2*B58</f>
        <v>13560</v>
      </c>
      <c r="E58" s="318"/>
      <c r="F58" s="290"/>
      <c r="G58" s="278"/>
      <c r="H58" s="278"/>
      <c r="I58" s="278"/>
      <c r="J58" s="278"/>
      <c r="K58" s="278"/>
      <c r="L58" s="278"/>
      <c r="M58" s="278"/>
      <c r="N58" s="278"/>
      <c r="O58" s="278"/>
      <c r="P58" s="278"/>
      <c r="Q58" s="278"/>
      <c r="R58" s="278"/>
    </row>
    <row r="59" spans="1:24" ht="15.75" x14ac:dyDescent="0.25">
      <c r="A59" s="402" t="s">
        <v>262</v>
      </c>
      <c r="B59" s="398">
        <v>24</v>
      </c>
      <c r="C59" s="399">
        <f>B59/8</f>
        <v>3</v>
      </c>
      <c r="D59" s="400">
        <f>E3*B59</f>
        <v>3120</v>
      </c>
      <c r="E59" s="318"/>
      <c r="F59" s="403"/>
      <c r="G59" s="278"/>
      <c r="H59" s="278"/>
      <c r="I59" s="278"/>
      <c r="J59" s="278"/>
      <c r="K59" s="278"/>
      <c r="L59" s="278"/>
      <c r="M59" s="278"/>
      <c r="N59" s="278"/>
      <c r="O59" s="278"/>
      <c r="P59" s="278"/>
      <c r="Q59" s="278"/>
      <c r="R59" s="278"/>
    </row>
    <row r="60" spans="1:24" ht="15.75" x14ac:dyDescent="0.25">
      <c r="A60" s="402" t="s">
        <v>267</v>
      </c>
      <c r="B60" s="398">
        <v>8</v>
      </c>
      <c r="C60" s="399">
        <f>B60/8</f>
        <v>1</v>
      </c>
      <c r="D60" s="400">
        <f>E4*B60</f>
        <v>1344</v>
      </c>
      <c r="E60" s="318"/>
      <c r="F60" s="325"/>
      <c r="G60" s="278"/>
      <c r="H60" s="278"/>
      <c r="I60" s="278"/>
      <c r="J60" s="278"/>
      <c r="K60" s="278"/>
      <c r="L60" s="278"/>
      <c r="M60" s="278"/>
      <c r="N60" s="278"/>
      <c r="O60" s="278"/>
      <c r="P60" s="278"/>
      <c r="Q60" s="278"/>
      <c r="R60" s="278"/>
    </row>
    <row r="61" spans="1:24" ht="15.75" x14ac:dyDescent="0.25">
      <c r="A61" s="404"/>
      <c r="B61" s="398"/>
      <c r="C61" s="399"/>
      <c r="D61" s="405"/>
      <c r="E61" s="406">
        <f>D58+D59+D60</f>
        <v>18024</v>
      </c>
      <c r="F61" s="325"/>
      <c r="G61" s="278"/>
      <c r="H61" s="278"/>
      <c r="I61" s="278"/>
      <c r="J61" s="278"/>
      <c r="K61" s="278"/>
      <c r="L61" s="278"/>
      <c r="M61" s="278"/>
      <c r="N61" s="278"/>
      <c r="O61" s="278"/>
      <c r="P61" s="278"/>
      <c r="Q61" s="278"/>
      <c r="R61" s="278"/>
    </row>
    <row r="62" spans="1:24" ht="15.75" x14ac:dyDescent="0.25">
      <c r="A62" s="333"/>
      <c r="B62" s="334"/>
      <c r="C62" s="335"/>
      <c r="D62" s="336"/>
      <c r="E62" s="337"/>
      <c r="F62" s="325"/>
      <c r="G62" s="278"/>
      <c r="H62" s="278"/>
      <c r="I62" s="278"/>
      <c r="J62" s="278"/>
      <c r="K62" s="278"/>
      <c r="L62" s="278"/>
      <c r="M62" s="278"/>
      <c r="N62" s="278"/>
      <c r="O62" s="278"/>
      <c r="P62" s="278"/>
      <c r="Q62" s="278"/>
      <c r="R62" s="278"/>
    </row>
    <row r="63" spans="1:24" ht="15.75" x14ac:dyDescent="0.25">
      <c r="A63" s="407" t="s">
        <v>275</v>
      </c>
      <c r="B63" s="313"/>
      <c r="C63" s="408"/>
      <c r="D63" s="409"/>
      <c r="E63" s="317"/>
      <c r="F63" s="325"/>
      <c r="G63" s="278"/>
      <c r="H63" s="278"/>
      <c r="I63" s="278"/>
      <c r="J63" s="278"/>
      <c r="K63" s="278"/>
      <c r="L63" s="278"/>
      <c r="M63" s="278"/>
      <c r="N63" s="278"/>
      <c r="O63" s="278"/>
      <c r="P63" s="278"/>
      <c r="Q63" s="278"/>
      <c r="R63" s="278"/>
    </row>
    <row r="64" spans="1:24" ht="15.75" x14ac:dyDescent="0.25">
      <c r="A64" s="410" t="s">
        <v>258</v>
      </c>
      <c r="B64" s="313">
        <v>40</v>
      </c>
      <c r="C64" s="408">
        <f>B64/8</f>
        <v>5</v>
      </c>
      <c r="D64" s="409">
        <f>E2*B64</f>
        <v>4520</v>
      </c>
      <c r="E64" s="317"/>
      <c r="F64" s="325"/>
      <c r="G64" s="278"/>
      <c r="H64" s="278"/>
      <c r="I64" s="278"/>
      <c r="J64" s="278"/>
      <c r="K64" s="278"/>
      <c r="L64" s="278"/>
      <c r="M64" s="278"/>
      <c r="N64" s="278"/>
      <c r="O64" s="278"/>
      <c r="P64" s="278"/>
      <c r="Q64" s="278"/>
      <c r="R64" s="278"/>
    </row>
    <row r="65" spans="1:18" ht="15.75" x14ac:dyDescent="0.25">
      <c r="A65" s="410" t="s">
        <v>262</v>
      </c>
      <c r="B65" s="313">
        <v>20</v>
      </c>
      <c r="C65" s="408">
        <f>B65/8</f>
        <v>2.5</v>
      </c>
      <c r="D65" s="409">
        <f>E3*B65</f>
        <v>2600</v>
      </c>
      <c r="E65" s="317"/>
      <c r="F65" s="311"/>
      <c r="G65" s="278"/>
      <c r="H65" s="278"/>
      <c r="I65" s="278"/>
      <c r="J65" s="278"/>
      <c r="K65" s="278"/>
      <c r="L65" s="278"/>
      <c r="M65" s="278"/>
      <c r="N65" s="278"/>
      <c r="O65" s="278"/>
      <c r="P65" s="278"/>
      <c r="Q65" s="278"/>
      <c r="R65" s="278"/>
    </row>
    <row r="66" spans="1:18" ht="15.75" x14ac:dyDescent="0.25">
      <c r="A66" s="410" t="s">
        <v>276</v>
      </c>
      <c r="B66" s="313">
        <v>8</v>
      </c>
      <c r="C66" s="408">
        <f>B66/8</f>
        <v>1</v>
      </c>
      <c r="D66" s="409">
        <f>E4*B66</f>
        <v>1344</v>
      </c>
      <c r="E66" s="317"/>
      <c r="F66" s="325"/>
      <c r="G66" s="278"/>
      <c r="H66" s="278"/>
      <c r="I66" s="278"/>
      <c r="J66" s="278"/>
      <c r="K66" s="278"/>
      <c r="L66" s="278"/>
      <c r="M66" s="278"/>
      <c r="N66" s="278"/>
      <c r="O66" s="278"/>
      <c r="P66" s="278"/>
      <c r="Q66" s="278"/>
      <c r="R66" s="278"/>
    </row>
    <row r="67" spans="1:18" ht="15.75" x14ac:dyDescent="0.25">
      <c r="A67" s="411"/>
      <c r="B67" s="313"/>
      <c r="C67" s="408"/>
      <c r="D67" s="412"/>
      <c r="E67" s="332">
        <f>SUM(D64:D66)</f>
        <v>8464</v>
      </c>
      <c r="F67" s="325"/>
      <c r="G67" s="278"/>
      <c r="H67" s="278"/>
      <c r="I67" s="278"/>
      <c r="J67" s="278"/>
      <c r="K67" s="278"/>
      <c r="L67" s="278"/>
      <c r="M67" s="278"/>
      <c r="N67" s="278"/>
      <c r="O67" s="278"/>
      <c r="P67" s="278"/>
      <c r="Q67" s="278"/>
      <c r="R67" s="278"/>
    </row>
    <row r="68" spans="1:18" ht="15.75" x14ac:dyDescent="0.25">
      <c r="A68" s="396"/>
      <c r="B68" s="334"/>
      <c r="C68" s="335"/>
      <c r="D68" s="336"/>
      <c r="E68" s="337"/>
      <c r="F68" s="325"/>
      <c r="G68" s="278"/>
      <c r="H68" s="278"/>
      <c r="I68" s="278"/>
      <c r="J68" s="278"/>
      <c r="K68" s="278"/>
      <c r="L68" s="278"/>
      <c r="M68" s="278"/>
      <c r="N68" s="278"/>
      <c r="O68" s="278"/>
      <c r="P68" s="278"/>
      <c r="Q68" s="278"/>
      <c r="R68" s="278"/>
    </row>
    <row r="69" spans="1:18" ht="15.75" x14ac:dyDescent="0.25">
      <c r="A69" s="396"/>
      <c r="B69" s="334"/>
      <c r="C69" s="335"/>
      <c r="D69" s="348"/>
      <c r="E69" s="390"/>
      <c r="F69" s="290"/>
      <c r="G69" s="278"/>
      <c r="H69" s="278"/>
      <c r="I69" s="278"/>
      <c r="J69" s="278"/>
      <c r="K69" s="278"/>
      <c r="L69" s="278"/>
      <c r="M69" s="278"/>
      <c r="N69" s="278"/>
      <c r="O69" s="278"/>
      <c r="P69" s="278"/>
      <c r="Q69" s="278"/>
      <c r="R69" s="278"/>
    </row>
    <row r="70" spans="1:18" ht="16.5" thickBot="1" x14ac:dyDescent="0.3">
      <c r="A70" s="413" t="s">
        <v>277</v>
      </c>
      <c r="B70" s="414">
        <f>SUM(B14:B69)</f>
        <v>506.5</v>
      </c>
      <c r="C70" s="415">
        <f>SUM(C14:C69)</f>
        <v>61.3125</v>
      </c>
      <c r="D70" s="416"/>
      <c r="E70" s="416">
        <f>SUM(E14:E68)</f>
        <v>60866</v>
      </c>
      <c r="F70" s="290"/>
      <c r="G70" s="413" t="s">
        <v>278</v>
      </c>
      <c r="H70" s="413"/>
      <c r="I70" s="413"/>
      <c r="J70" s="413"/>
      <c r="K70" s="413"/>
      <c r="L70" s="417">
        <f>SUM(K13:K70)</f>
        <v>10996</v>
      </c>
      <c r="M70" s="278"/>
      <c r="N70" s="418" t="s">
        <v>279</v>
      </c>
      <c r="O70" s="418"/>
      <c r="P70" s="418"/>
      <c r="Q70" s="418"/>
      <c r="R70" s="419">
        <f>SUM(Q13:Q70)</f>
        <v>1510</v>
      </c>
    </row>
    <row r="71" spans="1:18" ht="15.75" x14ac:dyDescent="0.25">
      <c r="A71" s="278"/>
      <c r="B71" s="334"/>
      <c r="C71" s="335"/>
      <c r="D71" s="278"/>
      <c r="E71" s="390"/>
      <c r="F71" s="290"/>
      <c r="G71" s="278"/>
      <c r="H71" s="278"/>
      <c r="I71" s="278"/>
      <c r="J71" s="278"/>
      <c r="K71" s="278"/>
      <c r="L71" s="278"/>
      <c r="M71" s="278"/>
      <c r="N71" s="278"/>
      <c r="O71" s="278"/>
      <c r="P71" s="278"/>
      <c r="Q71" s="278"/>
      <c r="R71" s="278"/>
    </row>
    <row r="72" spans="1:18" ht="15.75" x14ac:dyDescent="0.25">
      <c r="A72" s="420" t="s">
        <v>280</v>
      </c>
      <c r="B72" s="421"/>
      <c r="C72" s="422"/>
      <c r="D72" s="423"/>
      <c r="E72" s="424">
        <f>SUM(E70,L70,R70)</f>
        <v>73372</v>
      </c>
      <c r="F72" s="290"/>
    </row>
    <row r="73" spans="1:18" ht="15.75" x14ac:dyDescent="0.25">
      <c r="F73" s="290"/>
      <c r="G73" s="278"/>
      <c r="H73" s="278"/>
      <c r="I73" s="278"/>
      <c r="J73" s="278" t="s">
        <v>150</v>
      </c>
      <c r="K73" s="278"/>
      <c r="L73" s="278"/>
      <c r="M73" s="278"/>
      <c r="N73" s="278"/>
      <c r="O73" s="278"/>
      <c r="P73" s="278"/>
      <c r="Q73" s="278"/>
      <c r="R73" s="278"/>
    </row>
    <row r="74" spans="1:18" ht="15.75" x14ac:dyDescent="0.25">
      <c r="A74" s="290"/>
      <c r="B74" s="278"/>
      <c r="C74" s="278"/>
      <c r="D74" s="278"/>
      <c r="E74" s="278"/>
      <c r="F74" s="278"/>
      <c r="G74" s="278"/>
      <c r="H74" s="278"/>
      <c r="I74" s="278"/>
      <c r="J74" s="278"/>
      <c r="K74" s="278"/>
      <c r="L74" s="278"/>
      <c r="M74" s="278"/>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178FD-0D83-4FB4-BF5A-CFFD7AD596BC}">
  <dimension ref="A1:E22"/>
  <sheetViews>
    <sheetView workbookViewId="0"/>
  </sheetViews>
  <sheetFormatPr defaultColWidth="8.7109375" defaultRowHeight="15" x14ac:dyDescent="0.25"/>
  <cols>
    <col min="1" max="1" width="70.5703125" customWidth="1"/>
    <col min="2" max="2" width="23.28515625" bestFit="1" customWidth="1"/>
    <col min="3" max="3" width="17.85546875" customWidth="1"/>
    <col min="4" max="4" width="21.140625" customWidth="1"/>
    <col min="5" max="5" width="23" customWidth="1"/>
  </cols>
  <sheetData>
    <row r="1" spans="1:5" ht="15.75" x14ac:dyDescent="0.25">
      <c r="A1" s="273" t="s">
        <v>281</v>
      </c>
      <c r="B1" s="425">
        <v>45534</v>
      </c>
      <c r="C1" s="275"/>
      <c r="D1" s="276" t="s">
        <v>233</v>
      </c>
      <c r="E1" s="276" t="s">
        <v>234</v>
      </c>
    </row>
    <row r="2" spans="1:5" ht="15.75" x14ac:dyDescent="0.25">
      <c r="A2" s="279" t="s">
        <v>235</v>
      </c>
      <c r="B2" s="280"/>
      <c r="C2" s="281"/>
      <c r="D2" s="282" t="s">
        <v>236</v>
      </c>
      <c r="E2" s="283">
        <v>113</v>
      </c>
    </row>
    <row r="3" spans="1:5" ht="15.75" x14ac:dyDescent="0.25">
      <c r="A3" s="279" t="s">
        <v>237</v>
      </c>
      <c r="B3" s="280"/>
      <c r="C3" s="282"/>
      <c r="D3" s="282" t="s">
        <v>238</v>
      </c>
      <c r="E3" s="283">
        <v>130</v>
      </c>
    </row>
    <row r="4" spans="1:5" ht="15.75" x14ac:dyDescent="0.25">
      <c r="A4" s="279"/>
      <c r="B4" s="280"/>
      <c r="C4" s="281"/>
      <c r="D4" s="284" t="s">
        <v>239</v>
      </c>
      <c r="E4" s="283">
        <v>168</v>
      </c>
    </row>
    <row r="5" spans="1:5" ht="15.75" x14ac:dyDescent="0.25">
      <c r="A5" s="285"/>
      <c r="B5" s="280"/>
      <c r="C5" s="281"/>
    </row>
    <row r="6" spans="1:5" ht="16.5" thickBot="1" x14ac:dyDescent="0.3">
      <c r="A6" s="287"/>
      <c r="B6" s="287"/>
      <c r="C6" s="288"/>
      <c r="D6" s="287"/>
      <c r="E6" s="289"/>
    </row>
    <row r="7" spans="1:5" ht="15.75" x14ac:dyDescent="0.25">
      <c r="A7" s="292" t="s">
        <v>69</v>
      </c>
      <c r="B7" s="293" t="s">
        <v>247</v>
      </c>
      <c r="C7" s="294" t="s">
        <v>248</v>
      </c>
      <c r="D7" s="295" t="s">
        <v>9</v>
      </c>
      <c r="E7" s="296" t="s">
        <v>249</v>
      </c>
    </row>
    <row r="8" spans="1:5" ht="15.75" x14ac:dyDescent="0.25">
      <c r="A8" s="306" t="s">
        <v>282</v>
      </c>
      <c r="B8" s="307" t="s">
        <v>150</v>
      </c>
      <c r="C8" s="308"/>
      <c r="D8" s="309" t="s">
        <v>150</v>
      </c>
      <c r="E8" s="310" t="s">
        <v>255</v>
      </c>
    </row>
    <row r="9" spans="1:5" ht="15.75" x14ac:dyDescent="0.25">
      <c r="A9" s="321" t="s">
        <v>258</v>
      </c>
      <c r="B9" s="322">
        <v>16</v>
      </c>
      <c r="C9" s="323">
        <f>B9/8</f>
        <v>2</v>
      </c>
      <c r="D9" s="324">
        <f>E2*B9</f>
        <v>1808</v>
      </c>
      <c r="E9" s="310"/>
    </row>
    <row r="10" spans="1:5" ht="15.75" x14ac:dyDescent="0.25">
      <c r="A10" s="321" t="s">
        <v>262</v>
      </c>
      <c r="B10" s="322">
        <v>6</v>
      </c>
      <c r="C10" s="323">
        <f t="shared" ref="C10" si="0">B10/8</f>
        <v>0.75</v>
      </c>
      <c r="D10" s="324">
        <f>E3*B10</f>
        <v>780</v>
      </c>
      <c r="E10" s="328"/>
    </row>
    <row r="11" spans="1:5" ht="15.75" x14ac:dyDescent="0.25">
      <c r="A11" s="321" t="s">
        <v>283</v>
      </c>
      <c r="B11" s="322">
        <v>4</v>
      </c>
      <c r="C11" s="323">
        <f>B11/8</f>
        <v>0.5</v>
      </c>
      <c r="D11" s="324">
        <f>E4*B11</f>
        <v>672</v>
      </c>
      <c r="E11" s="328"/>
    </row>
    <row r="12" spans="1:5" ht="15.75" x14ac:dyDescent="0.25">
      <c r="A12" s="321"/>
      <c r="B12" s="322"/>
      <c r="C12" s="323"/>
      <c r="D12" s="330"/>
      <c r="E12" s="331">
        <f>D9+D10</f>
        <v>2588</v>
      </c>
    </row>
    <row r="13" spans="1:5" ht="15.75" x14ac:dyDescent="0.25">
      <c r="A13" s="333"/>
      <c r="B13" s="334"/>
      <c r="C13" s="335"/>
      <c r="D13" s="336"/>
      <c r="E13" s="337"/>
    </row>
    <row r="14" spans="1:5" ht="15.75" x14ac:dyDescent="0.25">
      <c r="A14" s="407" t="s">
        <v>284</v>
      </c>
      <c r="B14" s="313"/>
      <c r="C14" s="408"/>
      <c r="D14" s="409"/>
      <c r="E14" s="317"/>
    </row>
    <row r="15" spans="1:5" ht="15.75" x14ac:dyDescent="0.25">
      <c r="A15" s="410" t="s">
        <v>258</v>
      </c>
      <c r="B15" s="313">
        <v>8</v>
      </c>
      <c r="C15" s="408">
        <f>B15/8</f>
        <v>1</v>
      </c>
      <c r="D15" s="409">
        <f>E2*B15</f>
        <v>904</v>
      </c>
      <c r="E15" s="317"/>
    </row>
    <row r="16" spans="1:5" ht="15.75" x14ac:dyDescent="0.25">
      <c r="A16" s="410" t="s">
        <v>262</v>
      </c>
      <c r="B16" s="313">
        <v>4</v>
      </c>
      <c r="C16" s="408">
        <f>B16/8</f>
        <v>0.5</v>
      </c>
      <c r="D16" s="409">
        <f>E3*B16</f>
        <v>520</v>
      </c>
      <c r="E16" s="317"/>
    </row>
    <row r="17" spans="1:5" ht="15.75" x14ac:dyDescent="0.25">
      <c r="A17" s="410" t="s">
        <v>285</v>
      </c>
      <c r="B17" s="313">
        <v>2</v>
      </c>
      <c r="C17" s="408">
        <f>B17/8</f>
        <v>0.25</v>
      </c>
      <c r="D17" s="409">
        <f>E4*B17</f>
        <v>336</v>
      </c>
      <c r="E17" s="317"/>
    </row>
    <row r="18" spans="1:5" ht="15.75" x14ac:dyDescent="0.25">
      <c r="A18" s="411"/>
      <c r="B18" s="313"/>
      <c r="C18" s="408"/>
      <c r="D18" s="412"/>
      <c r="E18" s="332">
        <f>SUM(D15:D17)</f>
        <v>1760</v>
      </c>
    </row>
    <row r="19" spans="1:5" ht="15.75" x14ac:dyDescent="0.25">
      <c r="A19" s="333"/>
      <c r="B19" s="334"/>
      <c r="C19" s="335"/>
      <c r="D19" s="348"/>
      <c r="E19" s="278"/>
    </row>
    <row r="20" spans="1:5" ht="16.5" thickBot="1" x14ac:dyDescent="0.3">
      <c r="A20" s="413" t="s">
        <v>277</v>
      </c>
      <c r="B20" s="414">
        <f>SUM(B9:B19)</f>
        <v>40</v>
      </c>
      <c r="C20" s="415">
        <f>SUM(C9:C19)</f>
        <v>5</v>
      </c>
      <c r="D20" s="416"/>
      <c r="E20" s="416">
        <f>SUM(E9:E19)</f>
        <v>4348</v>
      </c>
    </row>
    <row r="21" spans="1:5" ht="15.75" x14ac:dyDescent="0.25">
      <c r="A21" s="278"/>
      <c r="B21" s="334"/>
      <c r="C21" s="335"/>
      <c r="D21" s="278"/>
      <c r="E21" s="390"/>
    </row>
    <row r="22" spans="1:5" ht="15.75" x14ac:dyDescent="0.25">
      <c r="A22" s="420" t="s">
        <v>280</v>
      </c>
      <c r="B22" s="421"/>
      <c r="C22" s="422"/>
      <c r="D22" s="423"/>
      <c r="E22" s="424">
        <f>SUM(E20,L65,R65)</f>
        <v>4348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903D8-1127-42B3-90C4-6C757CA93DDC}">
  <dimension ref="A1:F38"/>
  <sheetViews>
    <sheetView workbookViewId="0">
      <selection activeCell="C48" sqref="C48"/>
    </sheetView>
  </sheetViews>
  <sheetFormatPr defaultColWidth="8.7109375" defaultRowHeight="15" x14ac:dyDescent="0.25"/>
  <cols>
    <col min="1" max="1" width="31.7109375" customWidth="1"/>
    <col min="2" max="2" width="13.28515625" customWidth="1"/>
    <col min="3" max="3" width="23.140625" customWidth="1"/>
    <col min="4" max="4" width="16.85546875" customWidth="1"/>
    <col min="5" max="6" width="12.140625" bestFit="1" customWidth="1"/>
  </cols>
  <sheetData>
    <row r="1" spans="1:6" x14ac:dyDescent="0.25">
      <c r="A1" s="1" t="s">
        <v>286</v>
      </c>
      <c r="B1" s="1"/>
    </row>
    <row r="2" spans="1:6" ht="9" customHeight="1" x14ac:dyDescent="0.25">
      <c r="A2" s="1" t="s">
        <v>287</v>
      </c>
      <c r="B2" s="1"/>
    </row>
    <row r="3" spans="1:6" ht="15.75" x14ac:dyDescent="0.25">
      <c r="A3" s="426"/>
      <c r="B3" s="426"/>
      <c r="F3" s="427"/>
    </row>
    <row r="4" spans="1:6" ht="15.75" x14ac:dyDescent="0.25">
      <c r="A4" s="428" t="s">
        <v>288</v>
      </c>
      <c r="C4" s="429"/>
      <c r="F4" s="427"/>
    </row>
    <row r="5" spans="1:6" ht="15.75" x14ac:dyDescent="0.25">
      <c r="A5" t="s">
        <v>289</v>
      </c>
      <c r="C5" s="429"/>
      <c r="F5" s="427"/>
    </row>
    <row r="6" spans="1:6" ht="15.75" x14ac:dyDescent="0.25">
      <c r="A6" t="s">
        <v>290</v>
      </c>
      <c r="C6" s="429"/>
      <c r="F6" s="427"/>
    </row>
    <row r="7" spans="1:6" ht="15.75" x14ac:dyDescent="0.25">
      <c r="A7" t="s">
        <v>291</v>
      </c>
      <c r="C7" s="429"/>
      <c r="F7" s="427"/>
    </row>
    <row r="8" spans="1:6" ht="15.75" x14ac:dyDescent="0.25">
      <c r="A8" t="s">
        <v>292</v>
      </c>
      <c r="C8" s="429"/>
      <c r="F8" s="427"/>
    </row>
    <row r="9" spans="1:6" x14ac:dyDescent="0.25">
      <c r="A9" t="s">
        <v>293</v>
      </c>
      <c r="C9" s="429"/>
    </row>
    <row r="11" spans="1:6" x14ac:dyDescent="0.25">
      <c r="A11" s="430" t="s">
        <v>294</v>
      </c>
      <c r="B11" s="431" t="s">
        <v>295</v>
      </c>
      <c r="C11" s="431" t="s">
        <v>296</v>
      </c>
      <c r="D11" s="431" t="s">
        <v>9</v>
      </c>
    </row>
    <row r="12" spans="1:6" x14ac:dyDescent="0.25">
      <c r="A12" s="432" t="s">
        <v>297</v>
      </c>
      <c r="B12" s="433">
        <v>150</v>
      </c>
      <c r="C12" s="434">
        <v>40</v>
      </c>
      <c r="D12" s="433">
        <f>B12*C12</f>
        <v>6000</v>
      </c>
    </row>
    <row r="13" spans="1:6" x14ac:dyDescent="0.25">
      <c r="A13" s="432" t="s">
        <v>298</v>
      </c>
      <c r="B13" s="433">
        <v>160</v>
      </c>
      <c r="C13" s="434">
        <v>8</v>
      </c>
      <c r="D13" s="433">
        <f>B13*C13</f>
        <v>1280</v>
      </c>
    </row>
    <row r="14" spans="1:6" x14ac:dyDescent="0.25">
      <c r="A14" s="435" t="s">
        <v>299</v>
      </c>
      <c r="B14" s="435"/>
      <c r="C14" s="436">
        <f>SUM(C12:C13)</f>
        <v>48</v>
      </c>
      <c r="D14" s="437">
        <f>SUM(D12:D13)</f>
        <v>7280</v>
      </c>
    </row>
    <row r="15" spans="1:6" x14ac:dyDescent="0.25">
      <c r="A15" s="438"/>
      <c r="B15" s="438"/>
      <c r="C15" s="71"/>
      <c r="D15" s="439"/>
    </row>
    <row r="16" spans="1:6" x14ac:dyDescent="0.25">
      <c r="A16" s="440" t="s">
        <v>300</v>
      </c>
      <c r="B16" s="441" t="s">
        <v>295</v>
      </c>
      <c r="C16" s="441" t="s">
        <v>301</v>
      </c>
      <c r="D16" s="441" t="s">
        <v>9</v>
      </c>
    </row>
    <row r="17" spans="1:4" x14ac:dyDescent="0.25">
      <c r="A17" s="442" t="s">
        <v>297</v>
      </c>
      <c r="B17" s="443">
        <v>150</v>
      </c>
      <c r="C17" s="444">
        <v>460</v>
      </c>
      <c r="D17" s="443">
        <f>B17*C17</f>
        <v>69000</v>
      </c>
    </row>
    <row r="18" spans="1:4" x14ac:dyDescent="0.25">
      <c r="A18" s="442" t="s">
        <v>302</v>
      </c>
      <c r="B18" s="443">
        <v>283</v>
      </c>
      <c r="C18" s="445">
        <v>46</v>
      </c>
      <c r="D18" s="443">
        <f>B18*C18</f>
        <v>13018</v>
      </c>
    </row>
    <row r="19" spans="1:4" x14ac:dyDescent="0.25">
      <c r="A19" s="442" t="s">
        <v>303</v>
      </c>
      <c r="B19" s="446" t="s">
        <v>304</v>
      </c>
      <c r="C19" s="445" t="s">
        <v>304</v>
      </c>
      <c r="D19" s="447">
        <f>3000</f>
        <v>3000</v>
      </c>
    </row>
    <row r="20" spans="1:4" x14ac:dyDescent="0.25">
      <c r="A20" s="448" t="s">
        <v>299</v>
      </c>
      <c r="B20" s="448"/>
      <c r="C20" s="449">
        <f>SUM(C17:C17)</f>
        <v>460</v>
      </c>
      <c r="D20" s="450">
        <f>SUM(D17:D19)</f>
        <v>85018</v>
      </c>
    </row>
    <row r="21" spans="1:4" x14ac:dyDescent="0.25">
      <c r="A21" s="438"/>
      <c r="B21" s="438"/>
      <c r="C21" s="71"/>
      <c r="D21" s="439"/>
    </row>
    <row r="22" spans="1:4" x14ac:dyDescent="0.25">
      <c r="A22" s="430" t="s">
        <v>305</v>
      </c>
      <c r="B22" s="431" t="s">
        <v>295</v>
      </c>
      <c r="C22" s="431" t="s">
        <v>296</v>
      </c>
      <c r="D22" s="431" t="s">
        <v>9</v>
      </c>
    </row>
    <row r="23" spans="1:4" x14ac:dyDescent="0.25">
      <c r="A23" s="432" t="s">
        <v>297</v>
      </c>
      <c r="B23" s="433">
        <v>150</v>
      </c>
      <c r="C23" s="434">
        <v>120</v>
      </c>
      <c r="D23" s="433">
        <f>B23*C23</f>
        <v>18000</v>
      </c>
    </row>
    <row r="24" spans="1:4" x14ac:dyDescent="0.25">
      <c r="A24" s="432" t="s">
        <v>298</v>
      </c>
      <c r="B24" s="433">
        <v>160</v>
      </c>
      <c r="C24" s="434">
        <v>30</v>
      </c>
      <c r="D24" s="433">
        <f t="shared" ref="D24" si="0">B24*C24</f>
        <v>4800</v>
      </c>
    </row>
    <row r="25" spans="1:4" x14ac:dyDescent="0.25">
      <c r="A25" s="435" t="s">
        <v>299</v>
      </c>
      <c r="B25" s="435"/>
      <c r="C25" s="436">
        <f>SUM(C23:C24)</f>
        <v>150</v>
      </c>
      <c r="D25" s="437">
        <f>SUM(D23:D24)</f>
        <v>22800</v>
      </c>
    </row>
    <row r="26" spans="1:4" x14ac:dyDescent="0.25">
      <c r="A26" s="451"/>
      <c r="B26" s="451"/>
      <c r="C26" s="452"/>
      <c r="D26" s="453"/>
    </row>
    <row r="27" spans="1:4" x14ac:dyDescent="0.25">
      <c r="A27" s="440" t="s">
        <v>306</v>
      </c>
      <c r="B27" s="441" t="s">
        <v>307</v>
      </c>
      <c r="C27" s="441" t="s">
        <v>308</v>
      </c>
      <c r="D27" s="441" t="s">
        <v>9</v>
      </c>
    </row>
    <row r="28" spans="1:4" x14ac:dyDescent="0.25">
      <c r="A28" s="454"/>
      <c r="B28" s="455">
        <f>SUM(D14,D20,D25)</f>
        <v>115098</v>
      </c>
      <c r="C28" s="456">
        <v>10</v>
      </c>
      <c r="D28" s="450">
        <f>B28*0.1</f>
        <v>11509.800000000001</v>
      </c>
    </row>
    <row r="29" spans="1:4" x14ac:dyDescent="0.25">
      <c r="A29" s="451"/>
      <c r="B29" s="451"/>
      <c r="C29" s="452"/>
      <c r="D29" s="453"/>
    </row>
    <row r="30" spans="1:4" x14ac:dyDescent="0.25">
      <c r="A30" s="457" t="s">
        <v>309</v>
      </c>
      <c r="B30" s="431" t="s">
        <v>295</v>
      </c>
      <c r="C30" s="431" t="s">
        <v>296</v>
      </c>
      <c r="D30" s="458" t="s">
        <v>9</v>
      </c>
    </row>
    <row r="31" spans="1:4" x14ac:dyDescent="0.25">
      <c r="A31" s="459" t="s">
        <v>310</v>
      </c>
      <c r="B31" s="433">
        <v>130</v>
      </c>
      <c r="C31" s="434">
        <v>25</v>
      </c>
      <c r="D31" s="433">
        <f>B31*C31</f>
        <v>3250</v>
      </c>
    </row>
    <row r="32" spans="1:4" x14ac:dyDescent="0.25">
      <c r="A32" s="459" t="s">
        <v>294</v>
      </c>
      <c r="B32" s="433">
        <v>130</v>
      </c>
      <c r="C32" s="434">
        <v>20</v>
      </c>
      <c r="D32" s="433">
        <f>B32*C32</f>
        <v>2600</v>
      </c>
    </row>
    <row r="33" spans="1:4" x14ac:dyDescent="0.25">
      <c r="A33" s="459" t="s">
        <v>305</v>
      </c>
      <c r="B33" s="433">
        <v>130</v>
      </c>
      <c r="C33" s="434">
        <v>20</v>
      </c>
      <c r="D33" s="433">
        <f t="shared" ref="D33:D34" si="1">B33*C33</f>
        <v>2600</v>
      </c>
    </row>
    <row r="34" spans="1:4" x14ac:dyDescent="0.25">
      <c r="A34" s="459" t="s">
        <v>311</v>
      </c>
      <c r="B34" s="433">
        <v>130</v>
      </c>
      <c r="C34" s="434">
        <v>20</v>
      </c>
      <c r="D34" s="433">
        <f t="shared" si="1"/>
        <v>2600</v>
      </c>
    </row>
    <row r="35" spans="1:4" x14ac:dyDescent="0.25">
      <c r="A35" s="435" t="s">
        <v>299</v>
      </c>
      <c r="B35" s="437"/>
      <c r="C35" s="436">
        <f>SUM(C29:C33)</f>
        <v>65</v>
      </c>
      <c r="D35" s="437">
        <f>SUM(D29:D33)</f>
        <v>8450</v>
      </c>
    </row>
    <row r="36" spans="1:4" x14ac:dyDescent="0.25">
      <c r="A36" s="451"/>
      <c r="B36" s="453"/>
      <c r="C36" s="452"/>
      <c r="D36" s="453"/>
    </row>
    <row r="37" spans="1:4" x14ac:dyDescent="0.25">
      <c r="A37" s="1"/>
      <c r="B37" s="429"/>
      <c r="C37" s="76"/>
    </row>
    <row r="38" spans="1:4" x14ac:dyDescent="0.25">
      <c r="A38" s="460" t="s">
        <v>312</v>
      </c>
      <c r="B38" s="460"/>
      <c r="C38" s="461"/>
      <c r="D38" s="462">
        <f>SUM(D14,D20,D25,D28,D35)</f>
        <v>135057.79999999999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Project Budget Summary</vt:lpstr>
      <vt:lpstr>ENV Schedule</vt:lpstr>
      <vt:lpstr>ENV Budget</vt:lpstr>
      <vt:lpstr>GEO Hours Breakdown</vt:lpstr>
      <vt:lpstr>COST FY'25</vt:lpstr>
      <vt:lpstr>Step 4 (compliance) budget</vt:lpstr>
      <vt:lpstr>Step 7 (contracting prep) budge</vt:lpstr>
      <vt:lpstr>Steb 9b (stabilization) budget</vt:lpstr>
      <vt:lpstr>'COST FY''25'!Print_Area</vt:lpstr>
      <vt:lpstr>'Project Budget Summary'!Print_Area</vt:lpstr>
      <vt:lpstr>'COST FY''25'!Print_Titles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Schlack, Donald W CIV USARMY CEPOH (USA)</dc:creator>
  <cp:lastModifiedBy>Matthew Santos</cp:lastModifiedBy>
  <cp:lastPrinted>2025-09-23T04:34:43Z</cp:lastPrinted>
  <dcterms:created xsi:type="dcterms:W3CDTF">2015-06-05T18:17:20Z</dcterms:created>
  <dcterms:modified xsi:type="dcterms:W3CDTF">2025-10-02T22:43:54Z</dcterms:modified>
</cp:coreProperties>
</file>